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5375" windowHeight="7845" activeTab="0"/>
  </bookViews>
  <sheets>
    <sheet name="для сайта" sheetId="1" r:id="rId1"/>
  </sheets>
  <definedNames>
    <definedName name="_xlnm.Print_Titles" localSheetId="0">'для сайта'!$3:$4</definedName>
  </definedNames>
  <calcPr fullCalcOnLoad="1"/>
</workbook>
</file>

<file path=xl/sharedStrings.xml><?xml version="1.0" encoding="utf-8"?>
<sst xmlns="http://schemas.openxmlformats.org/spreadsheetml/2006/main" count="113" uniqueCount="99">
  <si>
    <t>Молодцова д,15/1</t>
  </si>
  <si>
    <t>Молодцова д,15/2</t>
  </si>
  <si>
    <t>Центральная д,2</t>
  </si>
  <si>
    <t>Центральная д,4/1</t>
  </si>
  <si>
    <t>Центральная д,4/2</t>
  </si>
  <si>
    <t>Центральная д,6/2</t>
  </si>
  <si>
    <t>Центральная д,8/1</t>
  </si>
  <si>
    <t>Центральная д,10/1</t>
  </si>
  <si>
    <t>Заречная д,7</t>
  </si>
  <si>
    <t>Ветеранов д,3</t>
  </si>
  <si>
    <t>Ларина д,1</t>
  </si>
  <si>
    <t>Ларина д,2</t>
  </si>
  <si>
    <t>Ларина д,5</t>
  </si>
  <si>
    <t>Ларина д,6</t>
  </si>
  <si>
    <t>Ларина д,8</t>
  </si>
  <si>
    <t>Ларина д,14</t>
  </si>
  <si>
    <t>Молодежная д,1</t>
  </si>
  <si>
    <t>Молодежная д,6</t>
  </si>
  <si>
    <t>Молодежная д,8/1</t>
  </si>
  <si>
    <t>Молодцова д,1</t>
  </si>
  <si>
    <t>Молодцова д,3</t>
  </si>
  <si>
    <t>Молодцова д,9</t>
  </si>
  <si>
    <t>Молодцова д,13</t>
  </si>
  <si>
    <t>Молодцова д,14</t>
  </si>
  <si>
    <t>Школьная д,1</t>
  </si>
  <si>
    <t>Молодцова д,2</t>
  </si>
  <si>
    <t>Сосновая д,1</t>
  </si>
  <si>
    <t>Сосновая д,2</t>
  </si>
  <si>
    <t>Сосновая д,3</t>
  </si>
  <si>
    <t>Центральная д,6/1</t>
  </si>
  <si>
    <t>Черная Речка, д,4</t>
  </si>
  <si>
    <t>Черная Речка, д,34</t>
  </si>
  <si>
    <t>Черная Речка, д,36</t>
  </si>
  <si>
    <t>Черная Речка, д,28</t>
  </si>
  <si>
    <t>Черная Речка, д,70</t>
  </si>
  <si>
    <t>Черная Речка, д,71</t>
  </si>
  <si>
    <t>Д,Кожемякина 11/1</t>
  </si>
  <si>
    <t>Черная Речка, д, 72</t>
  </si>
  <si>
    <t>Черная Речка, д, 73</t>
  </si>
  <si>
    <t>Заречная д,10</t>
  </si>
  <si>
    <t>Центральная д,8/2</t>
  </si>
  <si>
    <t>Центральная д,10/2</t>
  </si>
  <si>
    <t>Пограничная д, 3/3</t>
  </si>
  <si>
    <t>Пограничная д, 5</t>
  </si>
  <si>
    <t>Заречная д, 12</t>
  </si>
  <si>
    <t>Центральная д,3</t>
  </si>
  <si>
    <t>Центральная д,5</t>
  </si>
  <si>
    <t>Центральная д,7/1</t>
  </si>
  <si>
    <t>Центральная д,7/2</t>
  </si>
  <si>
    <t>Ветеранов д,5</t>
  </si>
  <si>
    <t>Ветеранов д,7</t>
  </si>
  <si>
    <t>Ветеранов д,11/2</t>
  </si>
  <si>
    <t>Ветеранов д,12</t>
  </si>
  <si>
    <t>Молодежная д,2</t>
  </si>
  <si>
    <t>Молодцова д,10</t>
  </si>
  <si>
    <t>Молодцова д,11</t>
  </si>
  <si>
    <t>Молодцова д,16</t>
  </si>
  <si>
    <t>Ветеранов д,6</t>
  </si>
  <si>
    <t>Молодежная д,3</t>
  </si>
  <si>
    <t>Парковая, д,1</t>
  </si>
  <si>
    <t>Школьная д,2/3</t>
  </si>
  <si>
    <t>Молодцова д,4</t>
  </si>
  <si>
    <t>Молодцова д,7</t>
  </si>
  <si>
    <t>Ветеранов д,4</t>
  </si>
  <si>
    <t>Молодежная д,7</t>
  </si>
  <si>
    <t xml:space="preserve">Кленовая д, 5/1 </t>
  </si>
  <si>
    <t xml:space="preserve">Кленовая д, 5/3 </t>
  </si>
  <si>
    <t>Кленовая д, 5/4</t>
  </si>
  <si>
    <t>Кленовая д, 5/2</t>
  </si>
  <si>
    <t>Березовая д, 7</t>
  </si>
  <si>
    <t>Березовая д, 8</t>
  </si>
  <si>
    <t>Березовая д, 9</t>
  </si>
  <si>
    <t>Березовая д, 10</t>
  </si>
  <si>
    <t>Березовая д, 11</t>
  </si>
  <si>
    <t>Березовая д, 12</t>
  </si>
  <si>
    <t>Березовая д, 13</t>
  </si>
  <si>
    <t>Березовая д, 14</t>
  </si>
  <si>
    <t>Школьная д,2/2</t>
  </si>
  <si>
    <t>Школьная д,6/1</t>
  </si>
  <si>
    <t>Школьная д,6/2</t>
  </si>
  <si>
    <t>Школьная д,6/3</t>
  </si>
  <si>
    <t>Ветеранов д,10</t>
  </si>
  <si>
    <t>№ п/п</t>
  </si>
  <si>
    <t>адрес</t>
  </si>
  <si>
    <t>общий объем</t>
  </si>
  <si>
    <t>оплачено потребителями</t>
  </si>
  <si>
    <t>суммы пени и штрафы оплаченные поставщику</t>
  </si>
  <si>
    <t>ЦО (Гкал)</t>
  </si>
  <si>
    <t>ГВС (куб.м.)</t>
  </si>
  <si>
    <t>ГВС (руб.)</t>
  </si>
  <si>
    <t>ЦО (руб.)</t>
  </si>
  <si>
    <t>задолженность потребителей на 01.01.2015г.</t>
  </si>
  <si>
    <t>задолженность потребителей на 01.10.2015г.</t>
  </si>
  <si>
    <t>начислено  потребителям</t>
  </si>
  <si>
    <t>Выбогрское шоссе, д.2</t>
  </si>
  <si>
    <t xml:space="preserve">начислено поставщиком за 9 месяцев </t>
  </si>
  <si>
    <t>оплачено поставщику за 9 месяцев</t>
  </si>
  <si>
    <t>задолженность перед поставщиком за 9 месяцев</t>
  </si>
  <si>
    <r>
      <t xml:space="preserve">Задолженность ООО "УЮТ-СЕРВИС" перед поставщиками ЦО и ГВС по состоянию на 01.01.2015г. составила - </t>
    </r>
    <r>
      <rPr>
        <b/>
        <u val="single"/>
        <sz val="10"/>
        <rFont val="MS Sans Serif"/>
        <family val="2"/>
      </rPr>
      <t>28 549 358 - 59 руб.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</si>
</sst>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#,##0.000"/>
    <numFmt numFmtId="166" formatCode="0.0000000"/>
  </numFmts>
  <fonts count="22"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MS Sans Serif"/>
      <family val="2"/>
    </font>
    <font>
      <sz val="10"/>
      <color indexed="10"/>
      <name val="MS Sans Serif"/>
      <family val="2"/>
    </font>
    <font>
      <b/>
      <u val="single"/>
      <sz val="10"/>
      <name val="MS Sans Serif"/>
      <family val="2"/>
    </font>
    <font>
      <sz val="10"/>
      <color rgb="FFFF0000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/>
    </xf>
    <xf numFmtId="4" fontId="0" fillId="24" borderId="0" xfId="0" applyNumberFormat="1" applyFill="1" applyAlignment="1">
      <alignment/>
    </xf>
    <xf numFmtId="0" fontId="0" fillId="0" borderId="10" xfId="0" applyFill="1" applyBorder="1" applyAlignment="1">
      <alignment/>
    </xf>
    <xf numFmtId="4" fontId="0" fillId="25" borderId="0" xfId="0" applyNumberFormat="1" applyFill="1" applyAlignment="1">
      <alignment/>
    </xf>
    <xf numFmtId="0" fontId="0" fillId="25" borderId="0" xfId="0" applyFill="1" applyAlignment="1">
      <alignment/>
    </xf>
    <xf numFmtId="0" fontId="0" fillId="0" borderId="10" xfId="0" applyFont="1" applyBorder="1" applyAlignment="1">
      <alignment/>
    </xf>
    <xf numFmtId="0" fontId="0" fillId="2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24" borderId="0" xfId="0" applyNumberFormat="1" applyFill="1" applyAlignment="1">
      <alignment/>
    </xf>
    <xf numFmtId="0" fontId="0" fillId="25" borderId="0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4" fontId="0" fillId="24" borderId="10" xfId="0" applyNumberFormat="1" applyFill="1" applyBorder="1" applyAlignment="1">
      <alignment vertical="center" shrinkToFit="1"/>
    </xf>
    <xf numFmtId="0" fontId="0" fillId="26" borderId="10" xfId="0" applyFont="1" applyFill="1" applyBorder="1" applyAlignment="1">
      <alignment horizontal="center" vertical="center" wrapText="1"/>
    </xf>
    <xf numFmtId="4" fontId="0" fillId="26" borderId="10" xfId="0" applyNumberFormat="1" applyFill="1" applyBorder="1" applyAlignment="1">
      <alignment/>
    </xf>
    <xf numFmtId="4" fontId="0" fillId="26" borderId="10" xfId="0" applyNumberFormat="1" applyFill="1" applyBorder="1" applyAlignment="1">
      <alignment vertical="center" shrinkToFit="1"/>
    </xf>
    <xf numFmtId="4" fontId="0" fillId="26" borderId="0" xfId="0" applyNumberFormat="1" applyFill="1" applyAlignment="1">
      <alignment/>
    </xf>
    <xf numFmtId="0" fontId="0" fillId="26" borderId="0" xfId="0" applyFill="1" applyAlignment="1">
      <alignment/>
    </xf>
    <xf numFmtId="165" fontId="0" fillId="26" borderId="10" xfId="0" applyNumberFormat="1" applyFill="1" applyBorder="1" applyAlignment="1">
      <alignment vertical="center" shrinkToFit="1"/>
    </xf>
    <xf numFmtId="165" fontId="0" fillId="26" borderId="0" xfId="0" applyNumberFormat="1" applyFill="1" applyAlignment="1">
      <alignment/>
    </xf>
    <xf numFmtId="165" fontId="0" fillId="24" borderId="10" xfId="0" applyNumberFormat="1" applyFill="1" applyBorder="1" applyAlignment="1">
      <alignment vertical="center" shrinkToFit="1"/>
    </xf>
    <xf numFmtId="0" fontId="0" fillId="27" borderId="10" xfId="0" applyFill="1" applyBorder="1" applyAlignment="1">
      <alignment/>
    </xf>
    <xf numFmtId="165" fontId="0" fillId="27" borderId="10" xfId="0" applyNumberFormat="1" applyFill="1" applyBorder="1" applyAlignment="1">
      <alignment vertical="center" shrinkToFit="1"/>
    </xf>
    <xf numFmtId="4" fontId="0" fillId="27" borderId="10" xfId="0" applyNumberFormat="1" applyFill="1" applyBorder="1" applyAlignment="1">
      <alignment vertical="center" shrinkToFit="1"/>
    </xf>
    <xf numFmtId="0" fontId="0" fillId="27" borderId="0" xfId="0" applyFill="1" applyAlignment="1">
      <alignment/>
    </xf>
    <xf numFmtId="0" fontId="0" fillId="25" borderId="0" xfId="0" applyFill="1" applyBorder="1" applyAlignment="1">
      <alignment/>
    </xf>
    <xf numFmtId="165" fontId="0" fillId="25" borderId="0" xfId="0" applyNumberFormat="1" applyFill="1" applyBorder="1" applyAlignment="1">
      <alignment/>
    </xf>
    <xf numFmtId="0" fontId="0" fillId="25" borderId="0" xfId="0" applyFont="1" applyFill="1" applyAlignment="1">
      <alignment/>
    </xf>
    <xf numFmtId="4" fontId="0" fillId="25" borderId="0" xfId="0" applyNumberFormat="1" applyFont="1" applyFill="1" applyAlignment="1">
      <alignment/>
    </xf>
    <xf numFmtId="0" fontId="18" fillId="25" borderId="0" xfId="0" applyFont="1" applyFill="1" applyBorder="1" applyAlignment="1">
      <alignment/>
    </xf>
    <xf numFmtId="4" fontId="0" fillId="25" borderId="0" xfId="0" applyNumberFormat="1" applyFont="1" applyFill="1" applyBorder="1" applyAlignment="1">
      <alignment/>
    </xf>
    <xf numFmtId="4" fontId="0" fillId="25" borderId="0" xfId="0" applyNumberFormat="1" applyFill="1" applyBorder="1" applyAlignment="1">
      <alignment vertical="center" shrinkToFit="1"/>
    </xf>
    <xf numFmtId="166" fontId="0" fillId="25" borderId="0" xfId="0" applyNumberFormat="1" applyFill="1" applyBorder="1" applyAlignment="1">
      <alignment/>
    </xf>
    <xf numFmtId="4" fontId="0" fillId="25" borderId="0" xfId="0" applyNumberFormat="1" applyFill="1" applyBorder="1" applyAlignment="1">
      <alignment/>
    </xf>
    <xf numFmtId="16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21" fillId="25" borderId="0" xfId="0" applyFont="1" applyFill="1" applyBorder="1" applyAlignment="1">
      <alignment/>
    </xf>
    <xf numFmtId="4" fontId="21" fillId="25" borderId="0" xfId="0" applyNumberFormat="1" applyFont="1" applyFill="1" applyBorder="1" applyAlignment="1">
      <alignment vertical="center" shrinkToFit="1"/>
    </xf>
    <xf numFmtId="166" fontId="21" fillId="25" borderId="0" xfId="0" applyNumberFormat="1" applyFont="1" applyFill="1" applyBorder="1" applyAlignment="1">
      <alignment/>
    </xf>
    <xf numFmtId="4" fontId="21" fillId="25" borderId="0" xfId="0" applyNumberFormat="1" applyFont="1" applyFill="1" applyBorder="1" applyAlignment="1">
      <alignment/>
    </xf>
    <xf numFmtId="0" fontId="0" fillId="25" borderId="0" xfId="0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82"/>
  <sheetViews>
    <sheetView tabSelected="1" zoomScalePageLayoutView="0" workbookViewId="0" topLeftCell="A1">
      <pane ySplit="4" topLeftCell="A83" activePane="bottomLeft" state="frozen"/>
      <selection pane="topLeft" activeCell="A1" sqref="A1"/>
      <selection pane="bottomLeft" activeCell="O3" sqref="O3:P3"/>
    </sheetView>
  </sheetViews>
  <sheetFormatPr defaultColWidth="9.140625" defaultRowHeight="12.75"/>
  <cols>
    <col min="1" max="1" width="5.421875" style="0" customWidth="1"/>
    <col min="2" max="2" width="21.28125" style="0" customWidth="1"/>
    <col min="3" max="3" width="10.7109375" style="2" customWidth="1"/>
    <col min="4" max="4" width="11.421875" style="18" customWidth="1"/>
    <col min="5" max="5" width="12.57421875" style="2" customWidth="1"/>
    <col min="6" max="6" width="11.28125" style="18" bestFit="1" customWidth="1"/>
    <col min="7" max="7" width="12.28125" style="2" bestFit="1" customWidth="1"/>
    <col min="8" max="8" width="12.28125" style="18" bestFit="1" customWidth="1"/>
    <col min="9" max="9" width="12.28125" style="2" bestFit="1" customWidth="1"/>
    <col min="10" max="10" width="12.28125" style="18" bestFit="1" customWidth="1"/>
    <col min="11" max="11" width="13.57421875" style="2" customWidth="1"/>
    <col min="12" max="12" width="14.140625" style="18" customWidth="1"/>
    <col min="13" max="13" width="14.7109375" style="2" customWidth="1"/>
    <col min="14" max="14" width="14.140625" style="18" customWidth="1"/>
    <col min="15" max="15" width="12.8515625" style="2" customWidth="1"/>
    <col min="16" max="16" width="12.140625" style="18" customWidth="1"/>
    <col min="17" max="17" width="13.140625" style="2" customWidth="1"/>
    <col min="18" max="18" width="12.140625" style="18" customWidth="1"/>
    <col min="19" max="19" width="12.140625" style="2" customWidth="1"/>
    <col min="20" max="20" width="12.28125" style="18" customWidth="1"/>
  </cols>
  <sheetData>
    <row r="1" spans="1:2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.75">
      <c r="A2" s="6"/>
      <c r="B2" s="28" t="s">
        <v>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42.75" customHeight="1">
      <c r="A3" s="42" t="s">
        <v>82</v>
      </c>
      <c r="B3" s="42" t="s">
        <v>83</v>
      </c>
      <c r="C3" s="42" t="s">
        <v>84</v>
      </c>
      <c r="D3" s="42"/>
      <c r="E3" s="43" t="s">
        <v>91</v>
      </c>
      <c r="F3" s="42"/>
      <c r="G3" s="44" t="s">
        <v>93</v>
      </c>
      <c r="H3" s="45"/>
      <c r="I3" s="46" t="s">
        <v>85</v>
      </c>
      <c r="J3" s="46"/>
      <c r="K3" s="43" t="s">
        <v>92</v>
      </c>
      <c r="L3" s="42"/>
      <c r="M3" s="43" t="s">
        <v>95</v>
      </c>
      <c r="N3" s="42"/>
      <c r="O3" s="42" t="s">
        <v>96</v>
      </c>
      <c r="P3" s="42"/>
      <c r="Q3" s="43" t="s">
        <v>97</v>
      </c>
      <c r="R3" s="42"/>
      <c r="S3" s="42" t="s">
        <v>86</v>
      </c>
      <c r="T3" s="42"/>
    </row>
    <row r="4" spans="1:20" ht="25.5">
      <c r="A4" s="42"/>
      <c r="B4" s="42"/>
      <c r="C4" s="12" t="s">
        <v>87</v>
      </c>
      <c r="D4" s="14" t="s">
        <v>88</v>
      </c>
      <c r="E4" s="12" t="s">
        <v>90</v>
      </c>
      <c r="F4" s="14" t="s">
        <v>89</v>
      </c>
      <c r="G4" s="12" t="s">
        <v>90</v>
      </c>
      <c r="H4" s="14" t="s">
        <v>89</v>
      </c>
      <c r="I4" s="12" t="s">
        <v>90</v>
      </c>
      <c r="J4" s="14" t="s">
        <v>89</v>
      </c>
      <c r="K4" s="12" t="s">
        <v>90</v>
      </c>
      <c r="L4" s="14" t="s">
        <v>89</v>
      </c>
      <c r="M4" s="12" t="s">
        <v>90</v>
      </c>
      <c r="N4" s="14" t="s">
        <v>89</v>
      </c>
      <c r="O4" s="12" t="s">
        <v>90</v>
      </c>
      <c r="P4" s="14" t="s">
        <v>89</v>
      </c>
      <c r="Q4" s="12" t="s">
        <v>90</v>
      </c>
      <c r="R4" s="14" t="s">
        <v>89</v>
      </c>
      <c r="S4" s="12" t="s">
        <v>90</v>
      </c>
      <c r="T4" s="14" t="s">
        <v>89</v>
      </c>
    </row>
    <row r="5" spans="1:20" ht="12.75">
      <c r="A5" s="1">
        <v>1</v>
      </c>
      <c r="B5" s="1" t="s">
        <v>9</v>
      </c>
      <c r="C5" s="21">
        <v>1526.734</v>
      </c>
      <c r="D5" s="19">
        <v>10080.722</v>
      </c>
      <c r="E5" s="13">
        <f>112859.05+-3796.06+96513.52+325038.11-158.13+18210.47</f>
        <v>548666.96</v>
      </c>
      <c r="F5" s="15">
        <f>79164.33+100443.8-97.16+37054.59-16.99+12914.57</f>
        <v>229463.14</v>
      </c>
      <c r="G5" s="13">
        <v>3009700.24</v>
      </c>
      <c r="H5" s="16">
        <v>983360.05</v>
      </c>
      <c r="I5" s="13">
        <f>51124.46+21484.94+3214855.52+3582.23</f>
        <v>3291047.15</v>
      </c>
      <c r="J5" s="16">
        <f>25115.39+924919.91+13567.87+1488.74</f>
        <v>965091.91</v>
      </c>
      <c r="K5" s="13">
        <f>E5+G5-I5</f>
        <v>267320.0500000003</v>
      </c>
      <c r="L5" s="16">
        <f>F5+H5-J5</f>
        <v>247731.2799999999</v>
      </c>
      <c r="M5" s="13">
        <v>2933555.52</v>
      </c>
      <c r="N5" s="16">
        <v>1102091.98</v>
      </c>
      <c r="O5" s="13">
        <v>3237932.412968746</v>
      </c>
      <c r="P5" s="16">
        <v>1261455.6538302514</v>
      </c>
      <c r="Q5" s="13">
        <f>M5-O5</f>
        <v>-304376.8929687459</v>
      </c>
      <c r="R5" s="16">
        <f>N5-P5</f>
        <v>-159363.67383025144</v>
      </c>
      <c r="S5" s="13"/>
      <c r="T5" s="16"/>
    </row>
    <row r="6" spans="1:20" ht="12.75">
      <c r="A6" s="1">
        <v>2</v>
      </c>
      <c r="B6" s="1" t="s">
        <v>63</v>
      </c>
      <c r="C6" s="21">
        <v>432.812</v>
      </c>
      <c r="D6" s="19">
        <v>2794.362</v>
      </c>
      <c r="E6" s="13">
        <f>37215.98+10669.85+92353.87-147.58+2006.39</f>
        <v>142098.51000000004</v>
      </c>
      <c r="F6" s="15">
        <f>10554.58+20478.23+5672.95-130.31+801.79</f>
        <v>37377.24</v>
      </c>
      <c r="G6" s="13">
        <v>858833.41</v>
      </c>
      <c r="H6" s="16">
        <v>284208.18</v>
      </c>
      <c r="I6" s="13">
        <f>19685.07+134.32+920964.37+16.32</f>
        <v>940800.08</v>
      </c>
      <c r="J6" s="16">
        <f>805.36+248265.11-68.22+15.04</f>
        <v>249017.28999999998</v>
      </c>
      <c r="K6" s="13">
        <f aca="true" t="shared" si="0" ref="K6:L69">E6+G6-I6</f>
        <v>60131.840000000084</v>
      </c>
      <c r="L6" s="16">
        <f t="shared" si="0"/>
        <v>72568.13</v>
      </c>
      <c r="M6" s="13">
        <v>831903.21</v>
      </c>
      <c r="N6" s="16">
        <v>306114.15</v>
      </c>
      <c r="O6" s="13">
        <v>931937.652622428</v>
      </c>
      <c r="P6" s="16">
        <v>354966.56346416025</v>
      </c>
      <c r="Q6" s="13">
        <f aca="true" t="shared" si="1" ref="Q6:Q69">M6-O6</f>
        <v>-100034.44262242806</v>
      </c>
      <c r="R6" s="16">
        <f aca="true" t="shared" si="2" ref="R6:R69">N6-P6</f>
        <v>-48852.41346416023</v>
      </c>
      <c r="S6" s="13"/>
      <c r="T6" s="16"/>
    </row>
    <row r="7" spans="1:20" ht="12.75">
      <c r="A7" s="1">
        <v>3</v>
      </c>
      <c r="B7" s="1" t="s">
        <v>49</v>
      </c>
      <c r="C7" s="21">
        <v>475.825</v>
      </c>
      <c r="D7" s="19">
        <v>1921.576</v>
      </c>
      <c r="E7" s="13">
        <f>17629.18-2109.45+2181.84+78580.6+168.45</f>
        <v>96450.62000000001</v>
      </c>
      <c r="F7" s="15">
        <f>1391.41+9727.36-215.56+6001.62+24.09</f>
        <v>16928.920000000002</v>
      </c>
      <c r="G7" s="13">
        <v>930331.92</v>
      </c>
      <c r="H7" s="16">
        <v>192559.49</v>
      </c>
      <c r="I7" s="13">
        <f>1033.38+983663.52</f>
        <v>984696.9</v>
      </c>
      <c r="J7" s="16">
        <f>-644.94+174181.55</f>
        <v>173536.61</v>
      </c>
      <c r="K7" s="13">
        <f t="shared" si="0"/>
        <v>42085.640000000014</v>
      </c>
      <c r="L7" s="16">
        <f t="shared" si="0"/>
        <v>35951.80000000002</v>
      </c>
      <c r="M7" s="13">
        <v>914450.58</v>
      </c>
      <c r="N7" s="16">
        <v>210140.96</v>
      </c>
      <c r="O7" s="13">
        <v>1022511.0561272013</v>
      </c>
      <c r="P7" s="16">
        <v>245668.73326877397</v>
      </c>
      <c r="Q7" s="13">
        <f t="shared" si="1"/>
        <v>-108060.47612720134</v>
      </c>
      <c r="R7" s="16">
        <f t="shared" si="2"/>
        <v>-35527.77326877398</v>
      </c>
      <c r="S7" s="13"/>
      <c r="T7" s="16"/>
    </row>
    <row r="8" spans="1:20" ht="12.75">
      <c r="A8" s="1">
        <v>4</v>
      </c>
      <c r="B8" s="1" t="s">
        <v>57</v>
      </c>
      <c r="C8" s="21">
        <v>438.995</v>
      </c>
      <c r="D8" s="19">
        <v>2003.341</v>
      </c>
      <c r="E8" s="13">
        <f>52156.33-4306.29+34433.26+102050.2+18955.04</f>
        <v>203288.54</v>
      </c>
      <c r="F8" s="15">
        <f>26846.21+15021+20904.84+7712.4</f>
        <v>70484.45</v>
      </c>
      <c r="G8" s="13">
        <v>848976.52</v>
      </c>
      <c r="H8" s="16">
        <v>211525.9</v>
      </c>
      <c r="I8" s="13">
        <f>10331.95+4288.64+893701.98+1775.94</f>
        <v>910098.5099999999</v>
      </c>
      <c r="J8" s="16">
        <f>7095.88+180901.02+3571.8+985.66</f>
        <v>192554.36</v>
      </c>
      <c r="K8" s="13">
        <f t="shared" si="0"/>
        <v>142166.55000000016</v>
      </c>
      <c r="L8" s="16">
        <f t="shared" si="0"/>
        <v>89455.98999999999</v>
      </c>
      <c r="M8" s="13">
        <v>842957.04</v>
      </c>
      <c r="N8" s="16">
        <v>219237.98</v>
      </c>
      <c r="O8" s="13">
        <v>944066.2401820701</v>
      </c>
      <c r="P8" s="16">
        <v>256028.7572217553</v>
      </c>
      <c r="Q8" s="13">
        <f t="shared" si="1"/>
        <v>-101109.20018207002</v>
      </c>
      <c r="R8" s="16">
        <f t="shared" si="2"/>
        <v>-36790.7772217553</v>
      </c>
      <c r="S8" s="13"/>
      <c r="T8" s="16"/>
    </row>
    <row r="9" spans="1:20" ht="12.75">
      <c r="A9" s="1">
        <v>5</v>
      </c>
      <c r="B9" s="1" t="s">
        <v>50</v>
      </c>
      <c r="C9" s="21">
        <v>466.186</v>
      </c>
      <c r="D9" s="19">
        <v>2293.068</v>
      </c>
      <c r="E9" s="13">
        <f>7849.56-435.6+104719.56-2472.54</f>
        <v>109660.98000000001</v>
      </c>
      <c r="F9" s="15">
        <f>3290.55+16507.6-586.39</f>
        <v>19211.76</v>
      </c>
      <c r="G9" s="13">
        <v>895906.04</v>
      </c>
      <c r="H9" s="16">
        <v>245290.32</v>
      </c>
      <c r="I9" s="13">
        <f>7785.13+855372.62</f>
        <v>863157.75</v>
      </c>
      <c r="J9" s="16">
        <f>3290.55+228215.86</f>
        <v>231506.40999999997</v>
      </c>
      <c r="K9" s="13">
        <f t="shared" si="0"/>
        <v>142409.27000000002</v>
      </c>
      <c r="L9" s="16">
        <f t="shared" si="0"/>
        <v>32995.67000000004</v>
      </c>
      <c r="M9" s="13">
        <v>894918.4</v>
      </c>
      <c r="N9" s="16">
        <v>251575.89</v>
      </c>
      <c r="O9" s="13">
        <v>1001079.7734531699</v>
      </c>
      <c r="P9" s="16">
        <v>292856.3691418518</v>
      </c>
      <c r="Q9" s="13">
        <f t="shared" si="1"/>
        <v>-106161.37345316983</v>
      </c>
      <c r="R9" s="16">
        <f t="shared" si="2"/>
        <v>-41280.47914185177</v>
      </c>
      <c r="S9" s="13"/>
      <c r="T9" s="16"/>
    </row>
    <row r="10" spans="1:20" ht="12.75">
      <c r="A10" s="1">
        <v>6</v>
      </c>
      <c r="B10" s="7" t="s">
        <v>81</v>
      </c>
      <c r="C10" s="21">
        <v>24.224</v>
      </c>
      <c r="D10" s="19">
        <v>229.154</v>
      </c>
      <c r="E10" s="13">
        <f>2094.3+6167.64</f>
        <v>8261.94</v>
      </c>
      <c r="F10" s="15">
        <f>-4494.9+0+1258.88-1050.22+113.89</f>
        <v>-4172.349999999999</v>
      </c>
      <c r="G10" s="13"/>
      <c r="H10" s="16">
        <v>25386.4</v>
      </c>
      <c r="I10" s="13">
        <f>355.07+50.81</f>
        <v>405.88</v>
      </c>
      <c r="J10" s="16">
        <f>-4949.48+21012.19+208.66</f>
        <v>16271.369999999999</v>
      </c>
      <c r="K10" s="13">
        <f t="shared" si="0"/>
        <v>7856.06</v>
      </c>
      <c r="L10" s="16">
        <f t="shared" si="0"/>
        <v>4942.680000000004</v>
      </c>
      <c r="M10" s="13">
        <v>44737.34</v>
      </c>
      <c r="N10" s="16">
        <v>26467.82</v>
      </c>
      <c r="O10" s="13">
        <v>68236.09594417282</v>
      </c>
      <c r="P10" s="16">
        <v>36494.94559772317</v>
      </c>
      <c r="Q10" s="13">
        <f t="shared" si="1"/>
        <v>-23498.755944172823</v>
      </c>
      <c r="R10" s="16">
        <f t="shared" si="2"/>
        <v>-10027.12559772317</v>
      </c>
      <c r="S10" s="13"/>
      <c r="T10" s="16"/>
    </row>
    <row r="11" spans="1:20" ht="12.75">
      <c r="A11" s="1">
        <v>7</v>
      </c>
      <c r="B11" s="1" t="s">
        <v>51</v>
      </c>
      <c r="C11" s="21">
        <v>507.435</v>
      </c>
      <c r="D11" s="19">
        <v>4167.855</v>
      </c>
      <c r="E11" s="13">
        <f>48698.12-1956.44+4585.35+139416.15+852.02</f>
        <v>191595.19999999998</v>
      </c>
      <c r="F11" s="15">
        <f>25273.88+35148.58+9878.27+166.09</f>
        <v>70466.82</v>
      </c>
      <c r="G11" s="13">
        <v>473998.45</v>
      </c>
      <c r="H11" s="16">
        <v>461541.85</v>
      </c>
      <c r="I11" s="13">
        <f>34626.71+3460.97+623234.62+852.02</f>
        <v>662174.3200000001</v>
      </c>
      <c r="J11" s="16">
        <f>22198.91+427311.25+6422.85+166.09</f>
        <v>456099.1</v>
      </c>
      <c r="K11" s="13">
        <f t="shared" si="0"/>
        <v>3419.329999999958</v>
      </c>
      <c r="L11" s="16">
        <f t="shared" si="0"/>
        <v>75909.56999999995</v>
      </c>
      <c r="M11" s="13">
        <v>976325.64</v>
      </c>
      <c r="N11" s="16">
        <v>455656.63</v>
      </c>
      <c r="O11" s="13">
        <v>1090402.1927710706</v>
      </c>
      <c r="P11" s="16">
        <v>525271.0889888088</v>
      </c>
      <c r="Q11" s="13">
        <f t="shared" si="1"/>
        <v>-114076.55277107062</v>
      </c>
      <c r="R11" s="16">
        <f t="shared" si="2"/>
        <v>-69614.4589888088</v>
      </c>
      <c r="S11" s="13"/>
      <c r="T11" s="16"/>
    </row>
    <row r="12" spans="1:20" ht="12.75">
      <c r="A12" s="1">
        <v>8</v>
      </c>
      <c r="B12" s="1" t="s">
        <v>52</v>
      </c>
      <c r="C12" s="21">
        <v>553.467</v>
      </c>
      <c r="D12" s="19">
        <v>2843.001</v>
      </c>
      <c r="E12" s="13">
        <f>19540.72+538.27+164800.65</f>
        <v>184879.63999999998</v>
      </c>
      <c r="F12" s="15">
        <f>1376.87+14497.51+278.51</f>
        <v>16152.890000000001</v>
      </c>
      <c r="G12" s="13">
        <v>1082048.59</v>
      </c>
      <c r="H12" s="16">
        <v>251344.91</v>
      </c>
      <c r="I12" s="13">
        <f>10986.6+538.27+1245618.72</f>
        <v>1257143.59</v>
      </c>
      <c r="J12" s="16">
        <f>1368.51+256427.96+272.55</f>
        <v>258069.02</v>
      </c>
      <c r="K12" s="13">
        <f t="shared" si="0"/>
        <v>9784.639999999898</v>
      </c>
      <c r="L12" s="16">
        <f t="shared" si="0"/>
        <v>9428.779999999999</v>
      </c>
      <c r="M12" s="13">
        <v>1063243.99</v>
      </c>
      <c r="N12" s="16">
        <v>312380.31</v>
      </c>
      <c r="O12" s="13">
        <v>1185771.5641576953</v>
      </c>
      <c r="P12" s="16">
        <v>362102.6990001064</v>
      </c>
      <c r="Q12" s="13">
        <f t="shared" si="1"/>
        <v>-122527.57415769529</v>
      </c>
      <c r="R12" s="16">
        <f t="shared" si="2"/>
        <v>-49722.38900010643</v>
      </c>
      <c r="S12" s="13"/>
      <c r="T12" s="16"/>
    </row>
    <row r="13" spans="1:20" ht="12.75">
      <c r="A13" s="1">
        <v>9</v>
      </c>
      <c r="B13" s="1" t="s">
        <v>36</v>
      </c>
      <c r="C13" s="21">
        <v>1209.265</v>
      </c>
      <c r="D13" s="19">
        <v>6525.51</v>
      </c>
      <c r="E13" s="13">
        <f>126061.4+-12.08+50725.43+259952.81+14670.11</f>
        <v>451397.67</v>
      </c>
      <c r="F13" s="15">
        <f>28660.06+41661.41-635.25+15966.27-50.87+7110.01</f>
        <v>92711.63</v>
      </c>
      <c r="G13" s="13">
        <v>2337378.98</v>
      </c>
      <c r="H13" s="16">
        <v>581528.78</v>
      </c>
      <c r="I13" s="13">
        <f>24053.55+1281.06+2448780.18+182.58</f>
        <v>2474297.37</v>
      </c>
      <c r="J13" s="16">
        <f>8125.67+520575.78+1480.51+101.37</f>
        <v>530283.3300000001</v>
      </c>
      <c r="K13" s="13">
        <f t="shared" si="0"/>
        <v>314479.2799999998</v>
      </c>
      <c r="L13" s="16">
        <f t="shared" si="0"/>
        <v>143957.07999999996</v>
      </c>
      <c r="M13" s="13">
        <v>2322458.11</v>
      </c>
      <c r="N13" s="16">
        <v>716546.09</v>
      </c>
      <c r="O13" s="13">
        <v>2567418.351810264</v>
      </c>
      <c r="P13" s="16">
        <v>822381.6872594929</v>
      </c>
      <c r="Q13" s="13">
        <f t="shared" si="1"/>
        <v>-244960.24181026407</v>
      </c>
      <c r="R13" s="16">
        <f t="shared" si="2"/>
        <v>-105835.59725949296</v>
      </c>
      <c r="S13" s="13"/>
      <c r="T13" s="16"/>
    </row>
    <row r="14" spans="1:20" ht="12.75">
      <c r="A14" s="1">
        <v>10</v>
      </c>
      <c r="B14" s="1" t="s">
        <v>10</v>
      </c>
      <c r="C14" s="21">
        <v>295.032</v>
      </c>
      <c r="D14" s="19">
        <v>1968.857</v>
      </c>
      <c r="E14" s="13">
        <f>36935.24+-1031.77+9492.56+86898.92</f>
        <v>132294.95</v>
      </c>
      <c r="F14" s="15">
        <f>-527.99+10523.18+5351.33</f>
        <v>15346.52</v>
      </c>
      <c r="G14" s="13">
        <v>609150.97</v>
      </c>
      <c r="H14" s="16">
        <v>140785.21</v>
      </c>
      <c r="I14" s="13">
        <f>25365.37+6184.07+674549.66</f>
        <v>706099.1</v>
      </c>
      <c r="J14" s="16">
        <f>1852.95+139837.07+3000.65</f>
        <v>144690.67</v>
      </c>
      <c r="K14" s="13">
        <f t="shared" si="0"/>
        <v>35346.81999999995</v>
      </c>
      <c r="L14" s="16">
        <f t="shared" si="0"/>
        <v>11441.059999999969</v>
      </c>
      <c r="M14" s="13">
        <v>567796.59</v>
      </c>
      <c r="N14" s="16">
        <v>217669.78</v>
      </c>
      <c r="O14" s="13">
        <v>642152.0972311198</v>
      </c>
      <c r="P14" s="16">
        <v>254242.83286816863</v>
      </c>
      <c r="Q14" s="13">
        <f t="shared" si="1"/>
        <v>-74355.50723111979</v>
      </c>
      <c r="R14" s="16">
        <f t="shared" si="2"/>
        <v>-36573.05286816863</v>
      </c>
      <c r="S14" s="13"/>
      <c r="T14" s="16"/>
    </row>
    <row r="15" spans="1:20" ht="12.75">
      <c r="A15" s="1">
        <v>11</v>
      </c>
      <c r="B15" s="1" t="s">
        <v>11</v>
      </c>
      <c r="C15" s="21">
        <v>332.393</v>
      </c>
      <c r="D15" s="19">
        <v>1138.871</v>
      </c>
      <c r="E15" s="13">
        <f>22725.57+75749.75</f>
        <v>98475.32</v>
      </c>
      <c r="F15" s="15">
        <f>2098.66+3088.1+2.47</f>
        <v>5189.2300000000005</v>
      </c>
      <c r="G15" s="13">
        <v>684607.06</v>
      </c>
      <c r="H15" s="16">
        <v>111746.21</v>
      </c>
      <c r="I15" s="13">
        <f>22725.57+758666.89</f>
        <v>781392.46</v>
      </c>
      <c r="J15" s="16">
        <f>2098.66+90422.84+2.47</f>
        <v>92523.97</v>
      </c>
      <c r="K15" s="13">
        <f t="shared" si="0"/>
        <v>1689.9200000001583</v>
      </c>
      <c r="L15" s="16">
        <f t="shared" si="0"/>
        <v>24411.47</v>
      </c>
      <c r="M15" s="13">
        <v>639495.64</v>
      </c>
      <c r="N15" s="16">
        <v>125048.24</v>
      </c>
      <c r="O15" s="13">
        <v>720822.404795842</v>
      </c>
      <c r="P15" s="16">
        <v>148761.98606756545</v>
      </c>
      <c r="Q15" s="13">
        <f t="shared" si="1"/>
        <v>-81326.764795842</v>
      </c>
      <c r="R15" s="16">
        <f t="shared" si="2"/>
        <v>-23713.746067565444</v>
      </c>
      <c r="S15" s="13"/>
      <c r="T15" s="16"/>
    </row>
    <row r="16" spans="1:20" ht="12.75">
      <c r="A16" s="1">
        <v>12</v>
      </c>
      <c r="B16" s="1" t="s">
        <v>12</v>
      </c>
      <c r="C16" s="21">
        <v>225.054</v>
      </c>
      <c r="D16" s="19">
        <v>1254.223</v>
      </c>
      <c r="E16" s="13">
        <f>49946.52+30197.44+121463.62+6362.87</f>
        <v>207970.44999999998</v>
      </c>
      <c r="F16" s="15">
        <f>11724.38+7070.36-1518.75+1358.52+3678.77</f>
        <v>22313.28</v>
      </c>
      <c r="G16" s="13">
        <v>429737.09</v>
      </c>
      <c r="H16" s="16">
        <v>103070.84</v>
      </c>
      <c r="I16" s="13">
        <f>33409.82+1834.03+527843.81+372.26</f>
        <v>563459.92</v>
      </c>
      <c r="J16" s="16">
        <f>1598.24+87994.85+14.35+197.11</f>
        <v>89804.55000000002</v>
      </c>
      <c r="K16" s="13">
        <f t="shared" si="0"/>
        <v>74247.62</v>
      </c>
      <c r="L16" s="16">
        <f t="shared" si="0"/>
        <v>35579.56999999998</v>
      </c>
      <c r="M16" s="13">
        <v>432564.59</v>
      </c>
      <c r="N16" s="16">
        <v>138258.84</v>
      </c>
      <c r="O16" s="13">
        <v>493771.567327411</v>
      </c>
      <c r="P16" s="16">
        <v>163806.70757342735</v>
      </c>
      <c r="Q16" s="13">
        <f t="shared" si="1"/>
        <v>-61206.97732741095</v>
      </c>
      <c r="R16" s="16">
        <f t="shared" si="2"/>
        <v>-25547.867573427357</v>
      </c>
      <c r="S16" s="13"/>
      <c r="T16" s="16"/>
    </row>
    <row r="17" spans="1:20" ht="12.75">
      <c r="A17" s="1">
        <v>13</v>
      </c>
      <c r="B17" s="1" t="s">
        <v>13</v>
      </c>
      <c r="C17" s="21">
        <v>256.987</v>
      </c>
      <c r="D17" s="19">
        <v>1781.709</v>
      </c>
      <c r="E17" s="13">
        <f>125342.19+-261.45+230286.8+92101.74-57.74+46465.69</f>
        <v>493877.23</v>
      </c>
      <c r="F17" s="15">
        <f>188756.48+46064.05-2027.89+50126.56+36540.32</f>
        <v>319459.52</v>
      </c>
      <c r="G17" s="13">
        <v>548625.44</v>
      </c>
      <c r="H17" s="16">
        <v>202073.62</v>
      </c>
      <c r="I17" s="13">
        <f>42157.61+26887.53+459092.66+5074.77</f>
        <v>533212.57</v>
      </c>
      <c r="J17" s="16">
        <f>22606.94+167116.94+9729.99+2296.71</f>
        <v>201750.58</v>
      </c>
      <c r="K17" s="13">
        <f t="shared" si="0"/>
        <v>509290.1</v>
      </c>
      <c r="L17" s="16">
        <f t="shared" si="0"/>
        <v>319782.56000000006</v>
      </c>
      <c r="M17" s="13">
        <v>494966.56</v>
      </c>
      <c r="N17" s="16">
        <v>194610.33</v>
      </c>
      <c r="O17" s="13">
        <v>562240.8451287845</v>
      </c>
      <c r="P17" s="16">
        <v>227981.87550602402</v>
      </c>
      <c r="Q17" s="13">
        <f t="shared" si="1"/>
        <v>-67274.28512878454</v>
      </c>
      <c r="R17" s="16">
        <f t="shared" si="2"/>
        <v>-33371.545506024035</v>
      </c>
      <c r="S17" s="13"/>
      <c r="T17" s="16"/>
    </row>
    <row r="18" spans="1:20" ht="12.75">
      <c r="A18" s="1">
        <v>14</v>
      </c>
      <c r="B18" s="1" t="s">
        <v>14</v>
      </c>
      <c r="C18" s="21">
        <v>356.663</v>
      </c>
      <c r="D18" s="19">
        <v>2842.259</v>
      </c>
      <c r="E18" s="13">
        <f>55791.31+18341.98+98151.39+7600.62</f>
        <v>179885.3</v>
      </c>
      <c r="F18" s="15">
        <f>18524.41+14022.47-2165.63+8274.99+3902.55</f>
        <v>42558.79</v>
      </c>
      <c r="G18" s="13">
        <v>597311.1</v>
      </c>
      <c r="H18" s="16">
        <v>216240</v>
      </c>
      <c r="I18" s="13">
        <f>36343.12+6992.15+604330.21+2276.45</f>
        <v>649941.9299999999</v>
      </c>
      <c r="J18" s="16">
        <f>12524.62+192616.7+3958.92+1169.61</f>
        <v>210269.85</v>
      </c>
      <c r="K18" s="13">
        <f t="shared" si="0"/>
        <v>127254.46999999997</v>
      </c>
      <c r="L18" s="16">
        <f t="shared" si="0"/>
        <v>48528.94</v>
      </c>
      <c r="M18" s="13">
        <v>684720.92</v>
      </c>
      <c r="N18" s="16">
        <v>311737.77</v>
      </c>
      <c r="O18" s="13">
        <v>770444.9128667391</v>
      </c>
      <c r="P18" s="16">
        <v>361370.9506043957</v>
      </c>
      <c r="Q18" s="13">
        <f t="shared" si="1"/>
        <v>-85723.99286673905</v>
      </c>
      <c r="R18" s="16">
        <f t="shared" si="2"/>
        <v>-49633.18060439569</v>
      </c>
      <c r="S18" s="13"/>
      <c r="T18" s="16"/>
    </row>
    <row r="19" spans="1:20" ht="12.75">
      <c r="A19" s="1">
        <v>15</v>
      </c>
      <c r="B19" s="1" t="s">
        <v>15</v>
      </c>
      <c r="C19" s="21">
        <v>463.177</v>
      </c>
      <c r="D19" s="19">
        <v>3113.103</v>
      </c>
      <c r="E19" s="13">
        <f>44686.72+123553.74</f>
        <v>168240.46000000002</v>
      </c>
      <c r="F19" s="15">
        <f>37666.72+14548.82-81.44+3777.15</f>
        <v>55911.25</v>
      </c>
      <c r="G19" s="13">
        <v>909564.63</v>
      </c>
      <c r="H19" s="16">
        <v>242696.07</v>
      </c>
      <c r="I19" s="13">
        <f>25957.84+980305.8</f>
        <v>1006263.64</v>
      </c>
      <c r="J19" s="16">
        <f>15429.66+222353.15+1121.54</f>
        <v>238904.35</v>
      </c>
      <c r="K19" s="13">
        <f t="shared" si="0"/>
        <v>71541.45000000007</v>
      </c>
      <c r="L19" s="16">
        <f t="shared" si="0"/>
        <v>59702.97</v>
      </c>
      <c r="M19" s="13">
        <v>889921.18</v>
      </c>
      <c r="N19" s="16">
        <v>340875.51</v>
      </c>
      <c r="O19" s="13">
        <v>995596.6766148077</v>
      </c>
      <c r="P19" s="16">
        <v>394554.0901749082</v>
      </c>
      <c r="Q19" s="13">
        <f t="shared" si="1"/>
        <v>-105675.49661480763</v>
      </c>
      <c r="R19" s="16">
        <f t="shared" si="2"/>
        <v>-53678.58017490822</v>
      </c>
      <c r="S19" s="13"/>
      <c r="T19" s="16"/>
    </row>
    <row r="20" spans="1:20" ht="12.75">
      <c r="A20" s="1">
        <v>16</v>
      </c>
      <c r="B20" s="1" t="s">
        <v>16</v>
      </c>
      <c r="C20" s="21">
        <v>437.209</v>
      </c>
      <c r="D20" s="19">
        <v>2586.853</v>
      </c>
      <c r="E20" s="13">
        <f>87846.07+-70.74+47318.63+117076.7-6444.75+7778.85</f>
        <v>253504.75999999998</v>
      </c>
      <c r="F20" s="15">
        <f>36330.28+17312.25-4568.59+22292.09+3761.67</f>
        <v>75127.7</v>
      </c>
      <c r="G20" s="13">
        <v>859246.56</v>
      </c>
      <c r="H20" s="16">
        <v>262967.27</v>
      </c>
      <c r="I20" s="13">
        <f>15529.69+755.05+904199.29+55.13</f>
        <v>920539.16</v>
      </c>
      <c r="J20" s="16">
        <f>5525.88+224329.45+823.1+21.35</f>
        <v>230699.78000000003</v>
      </c>
      <c r="K20" s="13">
        <f t="shared" si="0"/>
        <v>192212.16000000003</v>
      </c>
      <c r="L20" s="16">
        <f t="shared" si="0"/>
        <v>107395.19</v>
      </c>
      <c r="M20" s="13">
        <v>840123.19</v>
      </c>
      <c r="N20" s="16">
        <v>283189.28</v>
      </c>
      <c r="O20" s="13">
        <v>940956.856569703</v>
      </c>
      <c r="P20" s="16">
        <v>328858.87080008077</v>
      </c>
      <c r="Q20" s="13">
        <f t="shared" si="1"/>
        <v>-100833.66656970303</v>
      </c>
      <c r="R20" s="16">
        <f t="shared" si="2"/>
        <v>-45669.59080008074</v>
      </c>
      <c r="S20" s="13"/>
      <c r="T20" s="16"/>
    </row>
    <row r="21" spans="1:20" ht="12.75">
      <c r="A21" s="1">
        <v>17</v>
      </c>
      <c r="B21" s="1" t="s">
        <v>53</v>
      </c>
      <c r="C21" s="21">
        <v>328.877</v>
      </c>
      <c r="D21" s="19">
        <v>1850.419</v>
      </c>
      <c r="E21" s="13">
        <f>47663+18489.58+72709.64+7503.25</f>
        <v>146365.47</v>
      </c>
      <c r="F21" s="15">
        <f>28924.04+12628.78+18766.54+6688.25</f>
        <v>67007.61</v>
      </c>
      <c r="G21" s="13">
        <v>703798.6</v>
      </c>
      <c r="H21" s="16">
        <v>187221.42</v>
      </c>
      <c r="I21" s="13">
        <f>14411.99+6920.85+685638.3+2867.47</f>
        <v>709838.61</v>
      </c>
      <c r="J21" s="16">
        <f>11487.81+142416.45+7089.83+2567.56</f>
        <v>163561.65</v>
      </c>
      <c r="K21" s="13">
        <f t="shared" si="0"/>
        <v>140325.45999999996</v>
      </c>
      <c r="L21" s="16">
        <f t="shared" si="0"/>
        <v>90667.38000000003</v>
      </c>
      <c r="M21" s="13">
        <v>633831.49</v>
      </c>
      <c r="N21" s="16">
        <v>203359.02</v>
      </c>
      <c r="O21" s="13">
        <v>714607.5327355745</v>
      </c>
      <c r="P21" s="16">
        <v>237945.2083289934</v>
      </c>
      <c r="Q21" s="13">
        <f t="shared" si="1"/>
        <v>-80776.04273557453</v>
      </c>
      <c r="R21" s="16">
        <f t="shared" si="2"/>
        <v>-34586.18832899342</v>
      </c>
      <c r="S21" s="13"/>
      <c r="T21" s="16"/>
    </row>
    <row r="22" spans="1:20" ht="12.75">
      <c r="A22" s="1">
        <v>18</v>
      </c>
      <c r="B22" s="1" t="s">
        <v>58</v>
      </c>
      <c r="C22" s="21">
        <v>460.62</v>
      </c>
      <c r="D22" s="19">
        <v>2124.256</v>
      </c>
      <c r="E22" s="13">
        <f>30193.16+-2016.87+19088.94+76722.81-4220.5+9386.11</f>
        <v>129153.65</v>
      </c>
      <c r="F22" s="15">
        <f>9787.89+16316.61+5046.85+3460.28</f>
        <v>34611.63</v>
      </c>
      <c r="G22" s="13">
        <v>888472.34</v>
      </c>
      <c r="H22" s="16">
        <v>229419.4</v>
      </c>
      <c r="I22" s="13">
        <f>2762.02+924962.71+5724.27</f>
        <v>933449</v>
      </c>
      <c r="J22" s="16">
        <f>1133.26+223962.9</f>
        <v>225096.16</v>
      </c>
      <c r="K22" s="13">
        <f t="shared" si="0"/>
        <v>84176.98999999999</v>
      </c>
      <c r="L22" s="16">
        <f t="shared" si="0"/>
        <v>38934.869999999966</v>
      </c>
      <c r="M22" s="13">
        <v>884717.01</v>
      </c>
      <c r="N22" s="16">
        <v>232662.96</v>
      </c>
      <c r="O22" s="13">
        <v>989886.5081464793</v>
      </c>
      <c r="P22" s="16">
        <v>271317.62262694247</v>
      </c>
      <c r="Q22" s="13">
        <f t="shared" si="1"/>
        <v>-105169.49814647925</v>
      </c>
      <c r="R22" s="16">
        <f t="shared" si="2"/>
        <v>-38654.662626942474</v>
      </c>
      <c r="S22" s="13"/>
      <c r="T22" s="16"/>
    </row>
    <row r="23" spans="1:20" ht="12.75">
      <c r="A23" s="1">
        <v>19</v>
      </c>
      <c r="B23" s="1" t="s">
        <v>17</v>
      </c>
      <c r="C23" s="21">
        <v>1477.976</v>
      </c>
      <c r="D23" s="19">
        <v>9533.505</v>
      </c>
      <c r="E23" s="13">
        <f>172349.05+-404.01+101357.51+308593.32+30474.4</f>
        <v>612370.27</v>
      </c>
      <c r="F23" s="15">
        <f>145521.4+104301.16-1017.08+48748.63+23484.88</f>
        <v>321038.99</v>
      </c>
      <c r="G23" s="13">
        <v>2936045.93</v>
      </c>
      <c r="H23" s="16">
        <v>1016095.28</v>
      </c>
      <c r="I23" s="13">
        <f>54905.51+16460.57+3054987.93+6330.09</f>
        <v>3132684.1</v>
      </c>
      <c r="J23" s="16">
        <f>42260.75+909810.74+15442.22+3796.49</f>
        <v>971310.2</v>
      </c>
      <c r="K23" s="13">
        <f t="shared" si="0"/>
        <v>415732.1000000001</v>
      </c>
      <c r="L23" s="16">
        <f t="shared" si="0"/>
        <v>365824.07000000007</v>
      </c>
      <c r="M23" s="13">
        <v>2840959.9</v>
      </c>
      <c r="N23" s="16">
        <v>1043664.94</v>
      </c>
      <c r="O23" s="13">
        <v>3136333.7738717687</v>
      </c>
      <c r="P23" s="16">
        <v>1194916.7725370587</v>
      </c>
      <c r="Q23" s="13">
        <f t="shared" si="1"/>
        <v>-295373.8738717688</v>
      </c>
      <c r="R23" s="16">
        <f t="shared" si="2"/>
        <v>-151251.83253705874</v>
      </c>
      <c r="S23" s="13"/>
      <c r="T23" s="16"/>
    </row>
    <row r="24" spans="1:20" ht="12.75">
      <c r="A24" s="1">
        <v>20</v>
      </c>
      <c r="B24" s="1" t="s">
        <v>64</v>
      </c>
      <c r="C24" s="21">
        <v>1312.82</v>
      </c>
      <c r="D24" s="19">
        <v>7758.571</v>
      </c>
      <c r="E24" s="13">
        <f>134908.77+-407.53+58058.85-169.57+254480.33-600.47+14910.96</f>
        <v>461181.34</v>
      </c>
      <c r="F24" s="15">
        <f>59700.16+52430.75-98.08+44569.37-870.92+4451.91</f>
        <v>160183.19</v>
      </c>
      <c r="G24" s="13">
        <v>2269294.05</v>
      </c>
      <c r="H24" s="16">
        <v>854182.71</v>
      </c>
      <c r="I24" s="13">
        <f>46161.68+4514.74+2441546.48+118</f>
        <v>2492340.9</v>
      </c>
      <c r="J24" s="16">
        <f>23316.5+804307.62+9613.97+46.29</f>
        <v>837284.38</v>
      </c>
      <c r="K24" s="13">
        <f t="shared" si="0"/>
        <v>238134.48999999976</v>
      </c>
      <c r="L24" s="16">
        <f t="shared" si="0"/>
        <v>177081.5199999999</v>
      </c>
      <c r="M24" s="13">
        <v>2526354.76</v>
      </c>
      <c r="N24" s="16">
        <v>846885.72</v>
      </c>
      <c r="O24" s="13">
        <v>2791139.7563046953</v>
      </c>
      <c r="P24" s="16">
        <v>970817.294614729</v>
      </c>
      <c r="Q24" s="13">
        <f t="shared" si="1"/>
        <v>-264784.9963046955</v>
      </c>
      <c r="R24" s="16">
        <f t="shared" si="2"/>
        <v>-123931.57461472903</v>
      </c>
      <c r="S24" s="13"/>
      <c r="T24" s="16"/>
    </row>
    <row r="25" spans="1:20" ht="12.75">
      <c r="A25" s="1">
        <v>21</v>
      </c>
      <c r="B25" s="1" t="s">
        <v>18</v>
      </c>
      <c r="C25" s="21">
        <v>606.284</v>
      </c>
      <c r="D25" s="19">
        <v>3444.498</v>
      </c>
      <c r="E25" s="13">
        <f>91545.17+-1093.47+113361.44+162232.15+27244.26</f>
        <v>393289.55000000005</v>
      </c>
      <c r="F25" s="15">
        <f>104858.28+23962.73+29160.45-2315.91+16036.74</f>
        <v>171702.28999999998</v>
      </c>
      <c r="G25" s="13">
        <v>1245473.47</v>
      </c>
      <c r="H25" s="16">
        <v>376020.61</v>
      </c>
      <c r="I25" s="13">
        <f>37410.06+39896.94+1330713.55+10261.1</f>
        <v>1418281.6500000001</v>
      </c>
      <c r="J25" s="16">
        <f>44958.02+319440.65+8693.77+6892.11</f>
        <v>379984.55000000005</v>
      </c>
      <c r="K25" s="13">
        <f t="shared" si="0"/>
        <v>220481.36999999988</v>
      </c>
      <c r="L25" s="16">
        <f t="shared" si="0"/>
        <v>167738.34999999986</v>
      </c>
      <c r="M25" s="13">
        <v>1166864.14</v>
      </c>
      <c r="N25" s="16">
        <v>378106.78</v>
      </c>
      <c r="O25" s="13">
        <v>1299466.6419920963</v>
      </c>
      <c r="P25" s="16">
        <v>436954.4420483698</v>
      </c>
      <c r="Q25" s="13">
        <f t="shared" si="1"/>
        <v>-132602.50199209643</v>
      </c>
      <c r="R25" s="16">
        <f t="shared" si="2"/>
        <v>-58847.66204836976</v>
      </c>
      <c r="S25" s="13"/>
      <c r="T25" s="16"/>
    </row>
    <row r="26" spans="1:20" ht="12.75">
      <c r="A26" s="1">
        <v>22</v>
      </c>
      <c r="B26" s="1" t="s">
        <v>19</v>
      </c>
      <c r="C26" s="21">
        <v>1446.908</v>
      </c>
      <c r="D26" s="19">
        <v>8507.846</v>
      </c>
      <c r="E26" s="13">
        <f>227534.97+-4435.2+116469.11+313744.4-14116.1+24992.99</f>
        <v>664190.17</v>
      </c>
      <c r="F26" s="16">
        <f>179690.23+55304.73-4472.19+67662.06-3710.68+22861.14</f>
        <v>317335.29000000004</v>
      </c>
      <c r="G26" s="13">
        <v>2902601.16</v>
      </c>
      <c r="H26" s="16">
        <v>912145.89</v>
      </c>
      <c r="I26" s="13">
        <f>105857.61+20834.03+2992206.7+1464.03</f>
        <v>3120362.37</v>
      </c>
      <c r="J26" s="16">
        <f>45748.96+783721.79+21524.34+996.26</f>
        <v>851991.35</v>
      </c>
      <c r="K26" s="13">
        <f t="shared" si="0"/>
        <v>446428.95999999996</v>
      </c>
      <c r="L26" s="16">
        <f t="shared" si="0"/>
        <v>377489.8300000002</v>
      </c>
      <c r="M26" s="13">
        <v>2782059.76</v>
      </c>
      <c r="N26" s="16">
        <v>929216.65</v>
      </c>
      <c r="O26" s="13">
        <v>3071706.806995566</v>
      </c>
      <c r="P26" s="16">
        <v>1064578.812877988</v>
      </c>
      <c r="Q26" s="13">
        <f t="shared" si="1"/>
        <v>-289647.0469955662</v>
      </c>
      <c r="R26" s="16">
        <f t="shared" si="2"/>
        <v>-135362.16287798795</v>
      </c>
      <c r="S26" s="13"/>
      <c r="T26" s="16"/>
    </row>
    <row r="27" spans="1:20" ht="12.75">
      <c r="A27" s="1">
        <v>23</v>
      </c>
      <c r="B27" s="1" t="s">
        <v>25</v>
      </c>
      <c r="C27" s="21">
        <v>1499.765</v>
      </c>
      <c r="D27" s="19">
        <v>9095.489</v>
      </c>
      <c r="E27" s="13">
        <f>245811.79+-22.22+127875.58+387654.32+19313.47</f>
        <v>780632.94</v>
      </c>
      <c r="F27" s="16">
        <f>130163.39+70430.94-11.69+67626.82-49.94+16065.99-317.44</f>
        <v>283908.07</v>
      </c>
      <c r="G27" s="13">
        <v>3052661</v>
      </c>
      <c r="H27" s="16">
        <v>896974.53</v>
      </c>
      <c r="I27" s="13">
        <f>105230.39+61188.13+3267587.45+9957.21</f>
        <v>3443963.18</v>
      </c>
      <c r="J27" s="16">
        <f>66135.91+780608.85+22570.42+8769.7</f>
        <v>878084.88</v>
      </c>
      <c r="K27" s="13">
        <f t="shared" si="0"/>
        <v>389330.7599999998</v>
      </c>
      <c r="L27" s="16">
        <f t="shared" si="0"/>
        <v>302797.7200000001</v>
      </c>
      <c r="M27" s="13">
        <v>2885646.41</v>
      </c>
      <c r="N27" s="16">
        <v>995475.47</v>
      </c>
      <c r="O27" s="13">
        <v>3185365.127644155</v>
      </c>
      <c r="P27" s="16">
        <v>1140036.815860974</v>
      </c>
      <c r="Q27" s="13">
        <f t="shared" si="1"/>
        <v>-299718.717644155</v>
      </c>
      <c r="R27" s="16">
        <f t="shared" si="2"/>
        <v>-144561.34586097393</v>
      </c>
      <c r="S27" s="13"/>
      <c r="T27" s="16"/>
    </row>
    <row r="28" spans="1:20" ht="12.75">
      <c r="A28" s="1">
        <v>24</v>
      </c>
      <c r="B28" s="1" t="s">
        <v>20</v>
      </c>
      <c r="C28" s="21">
        <v>1538.167</v>
      </c>
      <c r="D28" s="19">
        <v>9214.46</v>
      </c>
      <c r="E28" s="13">
        <f>217342.38+-679.99+218049.87+327228.51+38114.28</f>
        <v>800055.05</v>
      </c>
      <c r="F28" s="16">
        <f>248579.19+66687.03-162.89+120924.83+44724.54</f>
        <v>480752.69999999995</v>
      </c>
      <c r="G28" s="13">
        <v>3068003.25</v>
      </c>
      <c r="H28" s="16">
        <v>1002690.74</v>
      </c>
      <c r="I28" s="13">
        <f>103405.53+44610.16+3172520.41+3852.26</f>
        <v>3324388.36</v>
      </c>
      <c r="J28" s="16">
        <f>38761.23+845258.45+18371.26+1640.51</f>
        <v>904031.45</v>
      </c>
      <c r="K28" s="13">
        <f t="shared" si="0"/>
        <v>543669.94</v>
      </c>
      <c r="L28" s="16">
        <f t="shared" si="0"/>
        <v>579411.99</v>
      </c>
      <c r="M28" s="13">
        <v>2956957.01</v>
      </c>
      <c r="N28" s="16">
        <v>1007141.4</v>
      </c>
      <c r="O28" s="13">
        <v>3263609.2164378683</v>
      </c>
      <c r="P28" s="16">
        <v>1153322.4098504127</v>
      </c>
      <c r="Q28" s="13">
        <f t="shared" si="1"/>
        <v>-306652.20643786853</v>
      </c>
      <c r="R28" s="16">
        <f t="shared" si="2"/>
        <v>-146181.00985041272</v>
      </c>
      <c r="S28" s="13"/>
      <c r="T28" s="16"/>
    </row>
    <row r="29" spans="1:20" ht="12.75">
      <c r="A29" s="1">
        <v>25</v>
      </c>
      <c r="B29" s="1" t="s">
        <v>61</v>
      </c>
      <c r="C29" s="21">
        <v>1257.921</v>
      </c>
      <c r="D29" s="19">
        <v>9727.201</v>
      </c>
      <c r="E29" s="13">
        <f>79134.17+-4541.73+5848.32+203534.18-727.69+1247.63</f>
        <v>284494.88</v>
      </c>
      <c r="F29" s="16">
        <f>37557.67+40025.38-365.65+22647.13-966.33+1901.89</f>
        <v>100800.09</v>
      </c>
      <c r="G29" s="13">
        <v>2496069.96</v>
      </c>
      <c r="H29" s="16">
        <v>942673.05</v>
      </c>
      <c r="I29" s="13">
        <f>49669.54+4516.76+2602378.36+885.6</f>
        <v>2657450.26</v>
      </c>
      <c r="J29" s="16">
        <f>26232.87+836520.22+13763.28+1350.24</f>
        <v>877866.61</v>
      </c>
      <c r="K29" s="13">
        <f t="shared" si="0"/>
        <v>123114.58000000007</v>
      </c>
      <c r="L29" s="16">
        <f t="shared" si="0"/>
        <v>165606.53000000003</v>
      </c>
      <c r="M29" s="13">
        <v>2417722.46</v>
      </c>
      <c r="N29" s="16">
        <v>1069150.66</v>
      </c>
      <c r="O29" s="13">
        <v>2671945.199996583</v>
      </c>
      <c r="P29" s="16">
        <v>1223940.8562105007</v>
      </c>
      <c r="Q29" s="13">
        <f t="shared" si="1"/>
        <v>-254222.7399965832</v>
      </c>
      <c r="R29" s="16">
        <f t="shared" si="2"/>
        <v>-154790.19621050078</v>
      </c>
      <c r="S29" s="13"/>
      <c r="T29" s="16"/>
    </row>
    <row r="30" spans="1:20" ht="12.75">
      <c r="A30" s="1">
        <v>26</v>
      </c>
      <c r="B30" s="1" t="s">
        <v>62</v>
      </c>
      <c r="C30" s="21">
        <v>409.631</v>
      </c>
      <c r="D30" s="19">
        <v>3466.88</v>
      </c>
      <c r="E30" s="13">
        <f>56301.76+21867.72+97778.61+7187.17</f>
        <v>183135.26000000004</v>
      </c>
      <c r="F30" s="16">
        <f>18487.51+25721.58+13046.34+1561.27</f>
        <v>58816.69999999999</v>
      </c>
      <c r="G30" s="13">
        <v>790764.53</v>
      </c>
      <c r="H30" s="16">
        <v>325050.45</v>
      </c>
      <c r="I30" s="13">
        <f>28429.17+4426.3+849366.36+576.71</f>
        <v>882798.5399999999</v>
      </c>
      <c r="J30" s="16">
        <f>8435.2+300744.09+7026.8+125.28</f>
        <v>316331.37000000005</v>
      </c>
      <c r="K30" s="13">
        <f t="shared" si="0"/>
        <v>91101.25000000012</v>
      </c>
      <c r="L30" s="16">
        <f t="shared" si="0"/>
        <v>67535.77999999997</v>
      </c>
      <c r="M30" s="13">
        <v>786626.51</v>
      </c>
      <c r="N30" s="16">
        <v>379951.6</v>
      </c>
      <c r="O30" s="13">
        <v>882258.7250143824</v>
      </c>
      <c r="P30" s="16">
        <v>439055.3915229163</v>
      </c>
      <c r="Q30" s="13">
        <f t="shared" si="1"/>
        <v>-95632.21501438238</v>
      </c>
      <c r="R30" s="16">
        <f t="shared" si="2"/>
        <v>-59103.79152291635</v>
      </c>
      <c r="S30" s="13"/>
      <c r="T30" s="16"/>
    </row>
    <row r="31" spans="1:20" ht="12.75">
      <c r="A31" s="1">
        <v>27</v>
      </c>
      <c r="B31" s="1" t="s">
        <v>21</v>
      </c>
      <c r="C31" s="21">
        <v>1372.831</v>
      </c>
      <c r="D31" s="19">
        <v>8774.355</v>
      </c>
      <c r="E31" s="13">
        <f>145087.85+-2481.17+58861.66-3.9+354332.06-91.22+14577.46</f>
        <v>570282.74</v>
      </c>
      <c r="F31" s="16">
        <f>71816.1+75690.94-20.38+51752.78+3597.09</f>
        <v>202836.53</v>
      </c>
      <c r="G31" s="13">
        <v>2883321.77</v>
      </c>
      <c r="H31" s="16">
        <v>884288.83</v>
      </c>
      <c r="I31" s="13">
        <f>86693.62+33633.24+3119251.39+6528.52</f>
        <v>3246106.77</v>
      </c>
      <c r="J31" s="16">
        <f>35725.64+801269.06+25289.36+2648.16</f>
        <v>864932.2200000001</v>
      </c>
      <c r="K31" s="13">
        <f t="shared" si="0"/>
        <v>207497.73999999976</v>
      </c>
      <c r="L31" s="16">
        <f t="shared" si="0"/>
        <v>222193.13999999978</v>
      </c>
      <c r="M31" s="13">
        <v>2643505.05</v>
      </c>
      <c r="N31" s="16">
        <v>961464.62</v>
      </c>
      <c r="O31" s="13">
        <v>2919680.5019016922</v>
      </c>
      <c r="P31" s="16">
        <v>1101303.9977885438</v>
      </c>
      <c r="Q31" s="13">
        <f t="shared" si="1"/>
        <v>-276175.45190169243</v>
      </c>
      <c r="R31" s="16">
        <f t="shared" si="2"/>
        <v>-139839.37778854382</v>
      </c>
      <c r="S31" s="13"/>
      <c r="T31" s="16"/>
    </row>
    <row r="32" spans="1:20" ht="12.75">
      <c r="A32" s="1">
        <v>28</v>
      </c>
      <c r="B32" s="1" t="s">
        <v>54</v>
      </c>
      <c r="C32" s="21">
        <v>1214.874</v>
      </c>
      <c r="D32" s="19">
        <v>7137.242</v>
      </c>
      <c r="E32" s="13">
        <f>120810.17+-895.44+45686.37+300167.01+31564.68</f>
        <v>497332.79</v>
      </c>
      <c r="F32" s="16">
        <f>63072.17+59608.19-10614.37+41354.08-16.99+9535.09</f>
        <v>162938.17</v>
      </c>
      <c r="G32" s="13">
        <v>2485201.07</v>
      </c>
      <c r="H32" s="16">
        <v>832253.6</v>
      </c>
      <c r="I32" s="13">
        <f>70500.04+21451.77+2681778.61+12038.56</f>
        <v>2785768.98</v>
      </c>
      <c r="J32" s="16">
        <f>37274.84+784963.84+24396.61+6497.6</f>
        <v>853132.8899999999</v>
      </c>
      <c r="K32" s="13">
        <f t="shared" si="0"/>
        <v>196764.8799999999</v>
      </c>
      <c r="L32" s="16">
        <f t="shared" si="0"/>
        <v>142058.88000000012</v>
      </c>
      <c r="M32" s="13">
        <v>2337212.16</v>
      </c>
      <c r="N32" s="16">
        <v>778584.59</v>
      </c>
      <c r="O32" s="13">
        <v>2583606.9296411457</v>
      </c>
      <c r="P32" s="16">
        <v>893033.4332166343</v>
      </c>
      <c r="Q32" s="13">
        <f t="shared" si="1"/>
        <v>-246394.7696411456</v>
      </c>
      <c r="R32" s="16">
        <f t="shared" si="2"/>
        <v>-114448.84321663436</v>
      </c>
      <c r="S32" s="13"/>
      <c r="T32" s="16"/>
    </row>
    <row r="33" spans="1:20" ht="12.75">
      <c r="A33" s="1">
        <v>29</v>
      </c>
      <c r="B33" s="1" t="s">
        <v>55</v>
      </c>
      <c r="C33" s="21">
        <v>1071.561</v>
      </c>
      <c r="D33" s="19">
        <v>8914.074</v>
      </c>
      <c r="E33" s="13">
        <f>161428.78+-485.05+51771.5+214418.02+37400.84</f>
        <v>464534.08999999997</v>
      </c>
      <c r="F33" s="16">
        <f>98077.08+73618.94-195.46+55341+20652.63</f>
        <v>247494.19000000003</v>
      </c>
      <c r="G33" s="13">
        <v>2225936.26</v>
      </c>
      <c r="H33" s="16">
        <v>908978.98</v>
      </c>
      <c r="I33" s="13">
        <f>54912.5+8158.94+2314950.01+7080.61</f>
        <v>2385102.0599999996</v>
      </c>
      <c r="J33" s="16">
        <f>35279.27+828347.73+12479.4+4758.03</f>
        <v>880864.43</v>
      </c>
      <c r="K33" s="13">
        <f t="shared" si="0"/>
        <v>305368.29000000004</v>
      </c>
      <c r="L33" s="16">
        <f t="shared" si="0"/>
        <v>275608.7399999999</v>
      </c>
      <c r="M33" s="13">
        <v>2063351.94</v>
      </c>
      <c r="N33" s="16">
        <v>977582.95</v>
      </c>
      <c r="O33" s="13">
        <v>2283119.437308368</v>
      </c>
      <c r="P33" s="16">
        <v>1119660.150119973</v>
      </c>
      <c r="Q33" s="13">
        <f t="shared" si="1"/>
        <v>-219767.49730836786</v>
      </c>
      <c r="R33" s="16">
        <f t="shared" si="2"/>
        <v>-142077.20011997316</v>
      </c>
      <c r="S33" s="13"/>
      <c r="T33" s="16"/>
    </row>
    <row r="34" spans="1:20" ht="12.75">
      <c r="A34" s="1">
        <v>30</v>
      </c>
      <c r="B34" s="1" t="s">
        <v>22</v>
      </c>
      <c r="C34" s="21">
        <v>1225.882</v>
      </c>
      <c r="D34" s="19">
        <v>8043.745</v>
      </c>
      <c r="E34" s="13">
        <f>150995.6+-532.32+97137.86+412899.56+19366.53</f>
        <v>679867.23</v>
      </c>
      <c r="F34" s="16">
        <f>102068.9+77525.38-725.1+64928.43-1964.11+19848.58</f>
        <v>261682.08000000002</v>
      </c>
      <c r="G34" s="13">
        <v>2631427.19</v>
      </c>
      <c r="H34" s="16">
        <v>858270.46</v>
      </c>
      <c r="I34" s="13">
        <f>111594.85+28957.28+2985820.66+5885.71</f>
        <v>3132258.5</v>
      </c>
      <c r="J34" s="16">
        <f>27416.78+836392.27+36573.81+3642.76</f>
        <v>904025.6200000001</v>
      </c>
      <c r="K34" s="13">
        <f t="shared" si="0"/>
        <v>179035.91999999993</v>
      </c>
      <c r="L34" s="16">
        <f t="shared" si="0"/>
        <v>215926.91999999993</v>
      </c>
      <c r="M34" s="13">
        <v>2359809</v>
      </c>
      <c r="N34" s="16">
        <v>878785.94</v>
      </c>
      <c r="O34" s="13">
        <v>2608400.847451644</v>
      </c>
      <c r="P34" s="16">
        <v>1007146.4489207957</v>
      </c>
      <c r="Q34" s="13">
        <f t="shared" si="1"/>
        <v>-248591.84745164402</v>
      </c>
      <c r="R34" s="16">
        <f t="shared" si="2"/>
        <v>-128360.50892079575</v>
      </c>
      <c r="S34" s="13"/>
      <c r="T34" s="16"/>
    </row>
    <row r="35" spans="1:20" ht="12.75">
      <c r="A35" s="1">
        <v>31</v>
      </c>
      <c r="B35" s="1" t="s">
        <v>23</v>
      </c>
      <c r="C35" s="21">
        <v>1253.802</v>
      </c>
      <c r="D35" s="19">
        <v>7120.316</v>
      </c>
      <c r="E35" s="13">
        <f>120214.47+-5967.24+81086.79+307679.99+35552.7</f>
        <v>538566.71</v>
      </c>
      <c r="F35" s="16">
        <f>78745.24+56160.99-983.3+37519.4-142.54+20005.18</f>
        <v>191304.97</v>
      </c>
      <c r="G35" s="13">
        <v>2237135.99</v>
      </c>
      <c r="H35" s="16">
        <v>743194.61</v>
      </c>
      <c r="I35" s="13">
        <f>56847.44+34438.36+2444022.9+15964.04</f>
        <v>2551272.7399999998</v>
      </c>
      <c r="J35" s="16">
        <f>36382.19+677382.09+17179.65+8735.23</f>
        <v>739679.16</v>
      </c>
      <c r="K35" s="13">
        <f t="shared" si="0"/>
        <v>224429.96000000043</v>
      </c>
      <c r="L35" s="16">
        <f t="shared" si="0"/>
        <v>194820.41999999993</v>
      </c>
      <c r="M35" s="13">
        <v>2409408.79</v>
      </c>
      <c r="N35" s="16">
        <v>779555.22</v>
      </c>
      <c r="O35" s="13">
        <v>2662823.196624271</v>
      </c>
      <c r="P35" s="16">
        <v>894138.8226792807</v>
      </c>
      <c r="Q35" s="13">
        <f t="shared" si="1"/>
        <v>-253414.40662427107</v>
      </c>
      <c r="R35" s="16">
        <f t="shared" si="2"/>
        <v>-114583.60267928068</v>
      </c>
      <c r="S35" s="13"/>
      <c r="T35" s="16"/>
    </row>
    <row r="36" spans="1:20" ht="12.75">
      <c r="A36" s="1">
        <v>32</v>
      </c>
      <c r="B36" s="1" t="s">
        <v>56</v>
      </c>
      <c r="C36" s="21">
        <v>683.372</v>
      </c>
      <c r="D36" s="19">
        <v>5205.061</v>
      </c>
      <c r="E36" s="13">
        <f>94772.92+-2224.18+50056.74+140484.58-12.96+27285.47</f>
        <v>310362.56999999995</v>
      </c>
      <c r="F36" s="16">
        <f>67049.7+28264.18-0.69+41832.46-0.06+21547.44</f>
        <v>158693.03</v>
      </c>
      <c r="G36" s="13">
        <v>1401817.47</v>
      </c>
      <c r="H36" s="16">
        <v>527344.81</v>
      </c>
      <c r="I36" s="13">
        <f>43567.83+23010.53+1445788.44+11636.73</f>
        <v>1524003.53</v>
      </c>
      <c r="J36" s="16">
        <f>27408.69+454579.69+16184.81+7745.56</f>
        <v>505918.75</v>
      </c>
      <c r="K36" s="13">
        <f t="shared" si="0"/>
        <v>188176.51</v>
      </c>
      <c r="L36" s="16">
        <f t="shared" si="0"/>
        <v>180119.09000000008</v>
      </c>
      <c r="M36" s="13">
        <v>1314963.51</v>
      </c>
      <c r="N36" s="16">
        <v>570981.4</v>
      </c>
      <c r="O36" s="13">
        <v>1461965.6289109134</v>
      </c>
      <c r="P36" s="16">
        <v>656607.2165967583</v>
      </c>
      <c r="Q36" s="13">
        <f t="shared" si="1"/>
        <v>-147002.11891091336</v>
      </c>
      <c r="R36" s="16">
        <f t="shared" si="2"/>
        <v>-85625.81659675832</v>
      </c>
      <c r="S36" s="13"/>
      <c r="T36" s="16"/>
    </row>
    <row r="37" spans="1:20" ht="12.75">
      <c r="A37" s="1">
        <v>33</v>
      </c>
      <c r="B37" s="7" t="s">
        <v>59</v>
      </c>
      <c r="C37" s="21">
        <v>677.732</v>
      </c>
      <c r="D37" s="19">
        <v>3566.601</v>
      </c>
      <c r="E37" s="13">
        <f>115934.92+56346.4+125293.95+16460.73</f>
        <v>314036</v>
      </c>
      <c r="F37" s="16">
        <f>66970.83+33400.24-132.54+27628.81-16.99+4503.87</f>
        <v>132354.22</v>
      </c>
      <c r="G37" s="13">
        <v>1351483.36</v>
      </c>
      <c r="H37" s="16">
        <v>324685.94</v>
      </c>
      <c r="I37" s="13">
        <f>56813.62+12647.44+1302003.93+1198.21</f>
        <v>1372663.2</v>
      </c>
      <c r="J37" s="16">
        <f>32980.03+269582.24+10242.33+117.45</f>
        <v>312922.05000000005</v>
      </c>
      <c r="K37" s="13">
        <f t="shared" si="0"/>
        <v>292856.16000000015</v>
      </c>
      <c r="L37" s="16">
        <f t="shared" si="0"/>
        <v>144118.11</v>
      </c>
      <c r="M37" s="13">
        <v>1302883.6</v>
      </c>
      <c r="N37" s="16">
        <v>391007.13</v>
      </c>
      <c r="O37" s="13">
        <v>1448711.196180575</v>
      </c>
      <c r="P37" s="16">
        <v>451645.8393413122</v>
      </c>
      <c r="Q37" s="13">
        <f t="shared" si="1"/>
        <v>-145827.59618057497</v>
      </c>
      <c r="R37" s="16">
        <f t="shared" si="2"/>
        <v>-60638.70934131218</v>
      </c>
      <c r="S37" s="13"/>
      <c r="T37" s="16"/>
    </row>
    <row r="38" spans="1:20" ht="12.75">
      <c r="A38" s="1">
        <v>34</v>
      </c>
      <c r="B38" s="1" t="s">
        <v>26</v>
      </c>
      <c r="C38" s="21">
        <v>460.85</v>
      </c>
      <c r="D38" s="19">
        <v>2048.924</v>
      </c>
      <c r="E38" s="13">
        <f>41646.77+-368.73+1678.78+100621.55</f>
        <v>143578.37</v>
      </c>
      <c r="F38" s="16">
        <f>7105.73+15698.6+3776.77</f>
        <v>26581.100000000002</v>
      </c>
      <c r="G38" s="13">
        <v>850207.3</v>
      </c>
      <c r="H38" s="16">
        <v>231156.85</v>
      </c>
      <c r="I38" s="13">
        <f>36507.6+1264.54+949681.59</f>
        <v>987453.73</v>
      </c>
      <c r="J38" s="16">
        <f>6298.5+233504.24+3761.7</f>
        <v>243564.44</v>
      </c>
      <c r="K38" s="13">
        <f t="shared" si="0"/>
        <v>6331.9400000000605</v>
      </c>
      <c r="L38" s="16">
        <f t="shared" si="0"/>
        <v>14173.51000000001</v>
      </c>
      <c r="M38" s="13">
        <v>884660.06</v>
      </c>
      <c r="N38" s="16">
        <v>222981.42</v>
      </c>
      <c r="O38" s="13">
        <v>989824.0209305981</v>
      </c>
      <c r="P38" s="16">
        <v>260291.92560728692</v>
      </c>
      <c r="Q38" s="13">
        <f t="shared" si="1"/>
        <v>-105163.96093059808</v>
      </c>
      <c r="R38" s="16">
        <f t="shared" si="2"/>
        <v>-37310.505607286905</v>
      </c>
      <c r="S38" s="13"/>
      <c r="T38" s="16"/>
    </row>
    <row r="39" spans="1:20" ht="12.75">
      <c r="A39" s="1">
        <v>35</v>
      </c>
      <c r="B39" s="1" t="s">
        <v>27</v>
      </c>
      <c r="C39" s="21">
        <v>376.956</v>
      </c>
      <c r="D39" s="19">
        <v>2999.323</v>
      </c>
      <c r="E39" s="13">
        <f>140162.93+-286.97+120990.77+97870.32+24881.76</f>
        <v>383618.81</v>
      </c>
      <c r="F39" s="16">
        <f>87814.38+20675.81+31671.78-101.73+11137.25</f>
        <v>151197.49</v>
      </c>
      <c r="G39" s="13">
        <v>734694.66</v>
      </c>
      <c r="H39" s="16">
        <v>272279.75</v>
      </c>
      <c r="I39" s="13">
        <f>37469.58+18572.85+734471.09+2271.01</f>
        <v>792784.53</v>
      </c>
      <c r="J39" s="16">
        <f>18426.24+195020.97+9295.23+1496.34</f>
        <v>224238.78</v>
      </c>
      <c r="K39" s="13">
        <f t="shared" si="0"/>
        <v>325528.93999999994</v>
      </c>
      <c r="L39" s="16">
        <f t="shared" si="0"/>
        <v>199238.46</v>
      </c>
      <c r="M39" s="13">
        <v>724123.5</v>
      </c>
      <c r="N39" s="16">
        <v>329604.24</v>
      </c>
      <c r="O39" s="13">
        <v>813678.5831516812</v>
      </c>
      <c r="P39" s="16">
        <v>381717.94963871944</v>
      </c>
      <c r="Q39" s="13">
        <f t="shared" si="1"/>
        <v>-89555.08315168123</v>
      </c>
      <c r="R39" s="16">
        <f t="shared" si="2"/>
        <v>-52113.70963871945</v>
      </c>
      <c r="S39" s="13"/>
      <c r="T39" s="16"/>
    </row>
    <row r="40" spans="1:20" ht="12.75">
      <c r="A40" s="1">
        <v>36</v>
      </c>
      <c r="B40" s="1" t="s">
        <v>28</v>
      </c>
      <c r="C40" s="21">
        <v>421.643</v>
      </c>
      <c r="D40" s="19">
        <v>2620.135</v>
      </c>
      <c r="E40" s="13">
        <f>30377.75+20859.36+91028.97+4603.99</f>
        <v>146870.07</v>
      </c>
      <c r="F40" s="16">
        <f>56426.93+15752.42+6242.62-1736.6+10249.8</f>
        <v>86935.17</v>
      </c>
      <c r="G40" s="13">
        <v>843683.06</v>
      </c>
      <c r="H40" s="16">
        <v>273792.47</v>
      </c>
      <c r="I40" s="13">
        <f>13871.78+8463.3+883746.33+1913.72</f>
        <v>907995.1299999999</v>
      </c>
      <c r="J40" s="16">
        <f>22912.68+233370.48+925.77+4267.74</f>
        <v>261476.66999999998</v>
      </c>
      <c r="K40" s="13">
        <f t="shared" si="0"/>
        <v>82558.00000000023</v>
      </c>
      <c r="L40" s="16">
        <f t="shared" si="0"/>
        <v>99250.96999999997</v>
      </c>
      <c r="M40" s="13">
        <v>810221.35</v>
      </c>
      <c r="N40" s="16">
        <v>286899.47</v>
      </c>
      <c r="O40" s="13">
        <v>908147.6777932603</v>
      </c>
      <c r="P40" s="16">
        <v>333084.17285175394</v>
      </c>
      <c r="Q40" s="13">
        <f t="shared" si="1"/>
        <v>-97926.32779326034</v>
      </c>
      <c r="R40" s="16">
        <f t="shared" si="2"/>
        <v>-46184.70285175397</v>
      </c>
      <c r="S40" s="13"/>
      <c r="T40" s="16"/>
    </row>
    <row r="41" spans="1:20" ht="12.75">
      <c r="A41" s="1">
        <v>37</v>
      </c>
      <c r="B41" s="1" t="s">
        <v>45</v>
      </c>
      <c r="C41" s="21">
        <v>726.875</v>
      </c>
      <c r="D41" s="19">
        <v>4971.362</v>
      </c>
      <c r="E41" s="13">
        <f>53610.71+-536.04+28008.63+152369.16-13601.16+12084.21</f>
        <v>231935.51</v>
      </c>
      <c r="F41" s="16">
        <f>51591.86+37054.83+23493.92+11038.39</f>
        <v>123179</v>
      </c>
      <c r="G41" s="13">
        <v>1479403.25</v>
      </c>
      <c r="H41" s="16">
        <v>483773.97</v>
      </c>
      <c r="I41" s="13">
        <f>15121.66+1544530.11</f>
        <v>1559651.77</v>
      </c>
      <c r="J41" s="16">
        <f>11617.32+403438.25+1071.81</f>
        <v>416127.38</v>
      </c>
      <c r="K41" s="13">
        <f t="shared" si="0"/>
        <v>151686.99</v>
      </c>
      <c r="L41" s="16">
        <f t="shared" si="0"/>
        <v>190825.58999999997</v>
      </c>
      <c r="M41" s="13">
        <v>1398529.8</v>
      </c>
      <c r="N41" s="16">
        <v>544033.81</v>
      </c>
      <c r="O41" s="13">
        <v>1553657.0214236837</v>
      </c>
      <c r="P41" s="16">
        <v>625918.3011194789</v>
      </c>
      <c r="Q41" s="13">
        <f t="shared" si="1"/>
        <v>-155127.2214236837</v>
      </c>
      <c r="R41" s="16">
        <f t="shared" si="2"/>
        <v>-81884.49111947883</v>
      </c>
      <c r="S41" s="13"/>
      <c r="T41" s="16"/>
    </row>
    <row r="42" spans="1:20" s="25" customFormat="1" ht="12.75">
      <c r="A42" s="22">
        <v>38</v>
      </c>
      <c r="B42" s="22" t="s">
        <v>46</v>
      </c>
      <c r="C42" s="23">
        <v>0</v>
      </c>
      <c r="D42" s="23">
        <v>0</v>
      </c>
      <c r="E42" s="24">
        <f>96505.75+-25.56+74801.6+14954.96</f>
        <v>186236.75</v>
      </c>
      <c r="F42" s="24">
        <f>29757.61+24017.17+14423.71</f>
        <v>68198.48999999999</v>
      </c>
      <c r="G42" s="24"/>
      <c r="H42" s="24"/>
      <c r="I42" s="24">
        <f>42008.76+4844.31</f>
        <v>46853.07</v>
      </c>
      <c r="J42" s="24">
        <f>2262.34+1836.5</f>
        <v>4098.84</v>
      </c>
      <c r="K42" s="24">
        <f t="shared" si="0"/>
        <v>139383.68</v>
      </c>
      <c r="L42" s="24">
        <f t="shared" si="0"/>
        <v>64099.649999999994</v>
      </c>
      <c r="M42" s="24"/>
      <c r="N42" s="24"/>
      <c r="O42" s="24"/>
      <c r="P42" s="24"/>
      <c r="Q42" s="13">
        <f t="shared" si="1"/>
        <v>0</v>
      </c>
      <c r="R42" s="16">
        <f t="shared" si="2"/>
        <v>0</v>
      </c>
      <c r="S42" s="24"/>
      <c r="T42" s="24"/>
    </row>
    <row r="43" spans="1:20" ht="12.75">
      <c r="A43" s="1">
        <v>39</v>
      </c>
      <c r="B43" s="1" t="s">
        <v>47</v>
      </c>
      <c r="C43" s="21">
        <v>630.589</v>
      </c>
      <c r="D43" s="19">
        <v>4160.96</v>
      </c>
      <c r="E43" s="13">
        <f>96647.62+-167.26+66905.07+186322.79-724.65+17494.17</f>
        <v>366477.73999999993</v>
      </c>
      <c r="F43" s="16">
        <f>73187.2+35315.38-4978.51+40276.05+12373.13</f>
        <v>156173.25</v>
      </c>
      <c r="G43" s="13">
        <v>1297491.22</v>
      </c>
      <c r="H43" s="16">
        <v>445127.41</v>
      </c>
      <c r="I43" s="13">
        <f>86364.47+60983.01+1451616.36+16170.33</f>
        <v>1615134.1700000002</v>
      </c>
      <c r="J43" s="16">
        <f>61881.81+407848.91+37784.33+12137.39</f>
        <v>519652.44</v>
      </c>
      <c r="K43" s="13">
        <f t="shared" si="0"/>
        <v>48834.789999999804</v>
      </c>
      <c r="L43" s="16">
        <f t="shared" si="0"/>
        <v>81648.21999999991</v>
      </c>
      <c r="M43" s="13">
        <v>1213897.47</v>
      </c>
      <c r="N43" s="16">
        <v>457336.82</v>
      </c>
      <c r="O43" s="13">
        <v>1351072.9957289044</v>
      </c>
      <c r="P43" s="16">
        <v>527184.5517101791</v>
      </c>
      <c r="Q43" s="13">
        <f t="shared" si="1"/>
        <v>-137175.5257289044</v>
      </c>
      <c r="R43" s="16">
        <f t="shared" si="2"/>
        <v>-69847.73171017907</v>
      </c>
      <c r="S43" s="13"/>
      <c r="T43" s="16"/>
    </row>
    <row r="44" spans="1:20" ht="12.75">
      <c r="A44" s="1">
        <v>40</v>
      </c>
      <c r="B44" s="1" t="s">
        <v>48</v>
      </c>
      <c r="C44" s="21">
        <v>626.223</v>
      </c>
      <c r="D44" s="19">
        <v>4594.853</v>
      </c>
      <c r="E44" s="13">
        <f>24849.37+-83.16+10706.87+170199.07</f>
        <v>205672.15000000002</v>
      </c>
      <c r="F44" s="16">
        <f>10776.1+29252.56+432.69</f>
        <v>40461.350000000006</v>
      </c>
      <c r="G44" s="13">
        <v>1310741.06</v>
      </c>
      <c r="H44" s="16">
        <v>480662.92</v>
      </c>
      <c r="I44" s="13">
        <f>16053.11+3173.48+1435532.28</f>
        <v>1454758.87</v>
      </c>
      <c r="J44" s="16">
        <f>7953.24+430518.46+266.77</f>
        <v>438738.47000000003</v>
      </c>
      <c r="K44" s="13">
        <f t="shared" si="0"/>
        <v>61654.33999999985</v>
      </c>
      <c r="L44" s="16">
        <f t="shared" si="0"/>
        <v>82385.79999999999</v>
      </c>
      <c r="M44" s="13">
        <v>1206154.1</v>
      </c>
      <c r="N44" s="16">
        <v>503616.04</v>
      </c>
      <c r="O44" s="13">
        <v>1342576.742298944</v>
      </c>
      <c r="P44" s="16">
        <v>579889.0447997068</v>
      </c>
      <c r="Q44" s="13">
        <f t="shared" si="1"/>
        <v>-136422.64229894383</v>
      </c>
      <c r="R44" s="16">
        <f t="shared" si="2"/>
        <v>-76273.0047997068</v>
      </c>
      <c r="S44" s="13"/>
      <c r="T44" s="16"/>
    </row>
    <row r="45" spans="1:20" ht="12.75">
      <c r="A45" s="1">
        <v>41</v>
      </c>
      <c r="B45" s="1" t="s">
        <v>24</v>
      </c>
      <c r="C45" s="21">
        <v>666.557</v>
      </c>
      <c r="D45" s="19">
        <v>4774.62</v>
      </c>
      <c r="E45" s="13">
        <f>110930.75+-3.86+54586.84+139989.77-271.84+16035.92</f>
        <v>321267.57999999996</v>
      </c>
      <c r="F45" s="16">
        <f>69847.53+25053.23+32236.02+14560.16</f>
        <v>141696.94</v>
      </c>
      <c r="G45" s="13">
        <v>1354484.09</v>
      </c>
      <c r="H45" s="16">
        <v>429775.4</v>
      </c>
      <c r="I45" s="13">
        <f>54851.78+22481.04+1362421.6+6037.85</f>
        <v>1445792.2700000003</v>
      </c>
      <c r="J45" s="16">
        <f>33118.92+329767.31+9011.56+5492.48</f>
        <v>377390.26999999996</v>
      </c>
      <c r="K45" s="13">
        <f t="shared" si="0"/>
        <v>229959.39999999967</v>
      </c>
      <c r="L45" s="16">
        <f t="shared" si="0"/>
        <v>194082.07000000012</v>
      </c>
      <c r="M45" s="13">
        <v>1282057.18</v>
      </c>
      <c r="N45" s="16">
        <v>527024.9</v>
      </c>
      <c r="O45" s="13">
        <v>1425859.8352926404</v>
      </c>
      <c r="P45" s="16">
        <v>606547.9232359406</v>
      </c>
      <c r="Q45" s="13">
        <f t="shared" si="1"/>
        <v>-143802.65529264044</v>
      </c>
      <c r="R45" s="16">
        <f t="shared" si="2"/>
        <v>-79523.0232359406</v>
      </c>
      <c r="S45" s="13"/>
      <c r="T45" s="16"/>
    </row>
    <row r="46" spans="1:20" ht="12.75">
      <c r="A46" s="1">
        <v>42</v>
      </c>
      <c r="B46" s="7" t="s">
        <v>77</v>
      </c>
      <c r="C46" s="21">
        <v>126.954</v>
      </c>
      <c r="D46" s="19">
        <v>556.708</v>
      </c>
      <c r="E46" s="13">
        <f>11108.36+1246.11+35631.04</f>
        <v>47985.51</v>
      </c>
      <c r="F46" s="16">
        <f>1091+2439.62+0.02</f>
        <v>3530.64</v>
      </c>
      <c r="G46" s="13">
        <v>269281.34</v>
      </c>
      <c r="H46" s="16">
        <v>40677.02</v>
      </c>
      <c r="I46" s="13">
        <f>10225.39+1103.34+301478.27</f>
        <v>312807</v>
      </c>
      <c r="J46" s="16">
        <f>965.99+39286.24+0.01</f>
        <v>40252.24</v>
      </c>
      <c r="K46" s="13">
        <f t="shared" si="0"/>
        <v>4459.850000000035</v>
      </c>
      <c r="L46" s="16">
        <f t="shared" si="0"/>
        <v>3955.4199999999983</v>
      </c>
      <c r="M46" s="13">
        <v>243211.53</v>
      </c>
      <c r="N46" s="16">
        <v>60027.58</v>
      </c>
      <c r="O46" s="13">
        <v>286007.81775860535</v>
      </c>
      <c r="P46" s="16">
        <v>74714.04563886921</v>
      </c>
      <c r="Q46" s="13">
        <f t="shared" si="1"/>
        <v>-42796.28775860535</v>
      </c>
      <c r="R46" s="16">
        <f t="shared" si="2"/>
        <v>-14686.46563886921</v>
      </c>
      <c r="S46" s="13"/>
      <c r="T46" s="16"/>
    </row>
    <row r="47" spans="1:20" ht="12.75">
      <c r="A47" s="1">
        <v>43</v>
      </c>
      <c r="B47" s="8" t="s">
        <v>60</v>
      </c>
      <c r="C47" s="21">
        <v>139.074</v>
      </c>
      <c r="D47" s="19">
        <v>890.753</v>
      </c>
      <c r="E47" s="13">
        <f>11552.71+5032.17+49031.44</f>
        <v>65616.32</v>
      </c>
      <c r="F47" s="16">
        <f>2447.41+5071.04+6859.82</f>
        <v>14378.27</v>
      </c>
      <c r="G47" s="13">
        <v>269053.17</v>
      </c>
      <c r="H47" s="16">
        <v>74089.15</v>
      </c>
      <c r="I47" s="13">
        <f>10668.62+4581.09+308177.13</f>
        <v>323426.84</v>
      </c>
      <c r="J47" s="16">
        <f>2224.14+67896.37+6244.91</f>
        <v>76365.42</v>
      </c>
      <c r="K47" s="13">
        <f t="shared" si="0"/>
        <v>11242.649999999965</v>
      </c>
      <c r="L47" s="16">
        <f t="shared" si="0"/>
        <v>12102</v>
      </c>
      <c r="M47" s="13">
        <v>267048.52</v>
      </c>
      <c r="N47" s="16">
        <v>98241.37</v>
      </c>
      <c r="O47" s="13">
        <v>312162.46464328794</v>
      </c>
      <c r="P47" s="16">
        <v>118233.32774819736</v>
      </c>
      <c r="Q47" s="13">
        <f t="shared" si="1"/>
        <v>-45113.94464328792</v>
      </c>
      <c r="R47" s="16">
        <f t="shared" si="2"/>
        <v>-19991.95774819737</v>
      </c>
      <c r="S47" s="13"/>
      <c r="T47" s="16"/>
    </row>
    <row r="48" spans="1:20" ht="12.75">
      <c r="A48" s="1">
        <v>44</v>
      </c>
      <c r="B48" s="7" t="s">
        <v>78</v>
      </c>
      <c r="C48" s="21">
        <v>101.641</v>
      </c>
      <c r="D48" s="19">
        <v>445.709</v>
      </c>
      <c r="E48" s="13">
        <f>3999.03+26584.07</f>
        <v>30583.1</v>
      </c>
      <c r="F48" s="16">
        <f>-339.2+3249.75</f>
        <v>2910.55</v>
      </c>
      <c r="G48" s="13">
        <v>179735.94</v>
      </c>
      <c r="H48" s="16">
        <v>36197.94</v>
      </c>
      <c r="I48" s="13">
        <f>3999.03+206320.01</f>
        <v>210319.04</v>
      </c>
      <c r="J48" s="16">
        <f>-339.2+39663.54</f>
        <v>39324.340000000004</v>
      </c>
      <c r="K48" s="13">
        <f t="shared" si="0"/>
        <v>0</v>
      </c>
      <c r="L48" s="16">
        <f t="shared" si="0"/>
        <v>-215.84999999999854</v>
      </c>
      <c r="M48" s="13">
        <v>194718.97</v>
      </c>
      <c r="N48" s="16">
        <v>48059.02</v>
      </c>
      <c r="O48" s="13">
        <v>232800.35392469488</v>
      </c>
      <c r="P48" s="16">
        <v>61083.80537527798</v>
      </c>
      <c r="Q48" s="13">
        <f t="shared" si="1"/>
        <v>-38081.38392469488</v>
      </c>
      <c r="R48" s="16">
        <f t="shared" si="2"/>
        <v>-13024.785375277985</v>
      </c>
      <c r="S48" s="13"/>
      <c r="T48" s="16"/>
    </row>
    <row r="49" spans="1:20" ht="12.75">
      <c r="A49" s="1">
        <v>45</v>
      </c>
      <c r="B49" s="7" t="s">
        <v>79</v>
      </c>
      <c r="C49" s="21">
        <v>134.315</v>
      </c>
      <c r="D49" s="19">
        <v>588.98</v>
      </c>
      <c r="E49" s="13">
        <f>951.99+35996.74</f>
        <v>36948.729999999996</v>
      </c>
      <c r="F49" s="16">
        <f>424+5530.02</f>
        <v>5954.02</v>
      </c>
      <c r="G49" s="13">
        <v>237513.11</v>
      </c>
      <c r="H49" s="16">
        <v>56176.02</v>
      </c>
      <c r="I49" s="13">
        <f>951.99+273509.85</f>
        <v>274461.83999999997</v>
      </c>
      <c r="J49" s="16">
        <f>424+55109.66</f>
        <v>55533.66</v>
      </c>
      <c r="K49" s="13">
        <f t="shared" si="0"/>
        <v>0</v>
      </c>
      <c r="L49" s="16">
        <f t="shared" si="0"/>
        <v>6596.37999999999</v>
      </c>
      <c r="M49" s="13">
        <v>257312.56</v>
      </c>
      <c r="N49" s="16">
        <v>63507.39</v>
      </c>
      <c r="O49" s="13">
        <v>301479.88282891485</v>
      </c>
      <c r="P49" s="16">
        <v>78676.98239748074</v>
      </c>
      <c r="Q49" s="13">
        <f t="shared" si="1"/>
        <v>-44167.322828914854</v>
      </c>
      <c r="R49" s="16">
        <f t="shared" si="2"/>
        <v>-15169.592397480737</v>
      </c>
      <c r="S49" s="13"/>
      <c r="T49" s="16"/>
    </row>
    <row r="50" spans="1:20" ht="12.75">
      <c r="A50" s="1">
        <v>46</v>
      </c>
      <c r="B50" s="7" t="s">
        <v>80</v>
      </c>
      <c r="C50" s="21">
        <v>126.707</v>
      </c>
      <c r="D50" s="19">
        <v>555.622</v>
      </c>
      <c r="E50" s="13">
        <f>6032.78+30579.17</f>
        <v>36611.95</v>
      </c>
      <c r="F50" s="16">
        <f>502.55+3413.09</f>
        <v>3915.6400000000003</v>
      </c>
      <c r="G50" s="13">
        <v>224059.38</v>
      </c>
      <c r="H50" s="16">
        <v>48309.17</v>
      </c>
      <c r="I50" s="13">
        <f>4346.98+238110.88</f>
        <v>242457.86000000002</v>
      </c>
      <c r="J50" s="16">
        <f>-293.08+36577.11</f>
        <v>36284.03</v>
      </c>
      <c r="K50" s="13">
        <f t="shared" si="0"/>
        <v>18213.47</v>
      </c>
      <c r="L50" s="16">
        <f t="shared" si="0"/>
        <v>15940.779999999999</v>
      </c>
      <c r="M50" s="13">
        <v>242737.34</v>
      </c>
      <c r="N50" s="16">
        <v>59910.54</v>
      </c>
      <c r="O50" s="13">
        <v>285487.52253650525</v>
      </c>
      <c r="P50" s="16">
        <v>74580.75614368763</v>
      </c>
      <c r="Q50" s="13">
        <f t="shared" si="1"/>
        <v>-42750.18253650525</v>
      </c>
      <c r="R50" s="16">
        <f t="shared" si="2"/>
        <v>-14670.216143687627</v>
      </c>
      <c r="S50" s="13"/>
      <c r="T50" s="16"/>
    </row>
    <row r="51" spans="1:20" ht="12.75">
      <c r="A51" s="1">
        <v>47</v>
      </c>
      <c r="B51" s="4" t="s">
        <v>30</v>
      </c>
      <c r="C51" s="21">
        <v>253.804</v>
      </c>
      <c r="D51" s="19">
        <v>989.388</v>
      </c>
      <c r="E51" s="13">
        <f>81737.89+-51.54+182188.6+103851.82-0.61+40081.35</f>
        <v>407807.51</v>
      </c>
      <c r="F51" s="16">
        <f>102344.94+41644.06-665.05+25752.8-3101.22+18839.34</f>
        <v>184814.87</v>
      </c>
      <c r="G51" s="13">
        <v>552473.17</v>
      </c>
      <c r="H51" s="16">
        <v>159681.39</v>
      </c>
      <c r="I51" s="13">
        <f>15883.43+14456.3+559906.95+3368.44</f>
        <v>593615.1199999999</v>
      </c>
      <c r="J51" s="16">
        <f>10512.18+147759.86+2659.9+1607.77</f>
        <v>162539.70999999996</v>
      </c>
      <c r="K51" s="13">
        <f t="shared" si="0"/>
        <v>366665.5600000002</v>
      </c>
      <c r="L51" s="16">
        <f t="shared" si="0"/>
        <v>181956.55000000005</v>
      </c>
      <c r="M51" s="13">
        <v>489066.29</v>
      </c>
      <c r="N51" s="16">
        <v>107612.39</v>
      </c>
      <c r="O51" s="13">
        <v>555766.8952561585</v>
      </c>
      <c r="P51" s="16">
        <v>128905.39306891421</v>
      </c>
      <c r="Q51" s="13">
        <f t="shared" si="1"/>
        <v>-66700.60525615857</v>
      </c>
      <c r="R51" s="16">
        <f t="shared" si="2"/>
        <v>-21293.003068914215</v>
      </c>
      <c r="S51" s="13"/>
      <c r="T51" s="16"/>
    </row>
    <row r="52" spans="1:20" ht="12.75">
      <c r="A52" s="1">
        <v>48</v>
      </c>
      <c r="B52" s="4" t="s">
        <v>31</v>
      </c>
      <c r="C52" s="21"/>
      <c r="D52" s="19"/>
      <c r="E52" s="13">
        <f>681.53</f>
        <v>681.53</v>
      </c>
      <c r="F52" s="16">
        <f>0</f>
        <v>0</v>
      </c>
      <c r="G52" s="13">
        <v>4257.51</v>
      </c>
      <c r="H52" s="16">
        <v>7584.71</v>
      </c>
      <c r="I52" s="13">
        <f>34741.61</f>
        <v>34741.61</v>
      </c>
      <c r="J52" s="16">
        <f>6878.09</f>
        <v>6878.09</v>
      </c>
      <c r="K52" s="13">
        <f t="shared" si="0"/>
        <v>-29802.57</v>
      </c>
      <c r="L52" s="16">
        <f t="shared" si="0"/>
        <v>706.6199999999999</v>
      </c>
      <c r="M52" s="13"/>
      <c r="N52" s="16"/>
      <c r="O52" s="13">
        <v>0</v>
      </c>
      <c r="P52" s="16">
        <v>0</v>
      </c>
      <c r="Q52" s="13">
        <f t="shared" si="1"/>
        <v>0</v>
      </c>
      <c r="R52" s="16">
        <f t="shared" si="2"/>
        <v>0</v>
      </c>
      <c r="S52" s="13"/>
      <c r="T52" s="16"/>
    </row>
    <row r="53" spans="1:20" ht="12.75">
      <c r="A53" s="1">
        <v>49</v>
      </c>
      <c r="B53" s="4" t="s">
        <v>32</v>
      </c>
      <c r="C53" s="21"/>
      <c r="D53" s="19"/>
      <c r="E53" s="13"/>
      <c r="F53" s="16">
        <f>1060</f>
        <v>1060</v>
      </c>
      <c r="G53" s="13"/>
      <c r="H53" s="16">
        <v>8757.11</v>
      </c>
      <c r="I53" s="13"/>
      <c r="J53" s="16">
        <f>1060+6149.5</f>
        <v>7209.5</v>
      </c>
      <c r="K53" s="13">
        <f t="shared" si="0"/>
        <v>0</v>
      </c>
      <c r="L53" s="16">
        <f t="shared" si="0"/>
        <v>2607.6100000000006</v>
      </c>
      <c r="M53" s="13"/>
      <c r="N53" s="16"/>
      <c r="O53" s="13">
        <v>0</v>
      </c>
      <c r="P53" s="16">
        <v>0</v>
      </c>
      <c r="Q53" s="13">
        <f t="shared" si="1"/>
        <v>0</v>
      </c>
      <c r="R53" s="16">
        <f t="shared" si="2"/>
        <v>0</v>
      </c>
      <c r="S53" s="13"/>
      <c r="T53" s="16"/>
    </row>
    <row r="54" spans="1:20" ht="12.75">
      <c r="A54" s="1">
        <v>50</v>
      </c>
      <c r="B54" s="4" t="s">
        <v>33</v>
      </c>
      <c r="C54" s="21"/>
      <c r="D54" s="19"/>
      <c r="E54" s="13"/>
      <c r="F54" s="16"/>
      <c r="G54" s="13"/>
      <c r="H54" s="16"/>
      <c r="I54" s="13"/>
      <c r="J54" s="16"/>
      <c r="K54" s="13">
        <f t="shared" si="0"/>
        <v>0</v>
      </c>
      <c r="L54" s="16">
        <f t="shared" si="0"/>
        <v>0</v>
      </c>
      <c r="M54" s="13"/>
      <c r="N54" s="16"/>
      <c r="O54" s="13">
        <v>0</v>
      </c>
      <c r="P54" s="16">
        <v>0</v>
      </c>
      <c r="Q54" s="13">
        <f t="shared" si="1"/>
        <v>0</v>
      </c>
      <c r="R54" s="16">
        <f t="shared" si="2"/>
        <v>0</v>
      </c>
      <c r="S54" s="13"/>
      <c r="T54" s="16"/>
    </row>
    <row r="55" spans="1:20" ht="12.75">
      <c r="A55" s="1">
        <v>51</v>
      </c>
      <c r="B55" s="4" t="s">
        <v>34</v>
      </c>
      <c r="C55" s="21">
        <v>52.626</v>
      </c>
      <c r="D55" s="19">
        <v>421.926</v>
      </c>
      <c r="E55" s="13">
        <f>27416.75+-339.56+13277.66+8008.8+3028.19</f>
        <v>51391.840000000004</v>
      </c>
      <c r="F55" s="16">
        <f>7953.45+156.99+10049.04+153.07</f>
        <v>18312.55</v>
      </c>
      <c r="G55" s="13">
        <v>62469.54</v>
      </c>
      <c r="H55" s="16">
        <v>48144.65</v>
      </c>
      <c r="I55" s="13">
        <f>13058.18+6488.39+64233.69+1479.79</f>
        <v>85260.05</v>
      </c>
      <c r="J55" s="16">
        <f>3886.61+31087.15+4910.67+74.8</f>
        <v>39959.23</v>
      </c>
      <c r="K55" s="13">
        <f t="shared" si="0"/>
        <v>28601.33</v>
      </c>
      <c r="L55" s="16">
        <f t="shared" si="0"/>
        <v>26497.969999999994</v>
      </c>
      <c r="M55" s="13">
        <v>101049.85</v>
      </c>
      <c r="N55" s="16">
        <v>46185.85</v>
      </c>
      <c r="O55" s="13">
        <v>130023.83903758186</v>
      </c>
      <c r="P55" s="16">
        <v>58950.56986870481</v>
      </c>
      <c r="Q55" s="13">
        <f t="shared" si="1"/>
        <v>-28973.98903758185</v>
      </c>
      <c r="R55" s="16">
        <f t="shared" si="2"/>
        <v>-12764.719868704815</v>
      </c>
      <c r="S55" s="13"/>
      <c r="T55" s="16"/>
    </row>
    <row r="56" spans="1:20" ht="12.75">
      <c r="A56" s="1">
        <v>52</v>
      </c>
      <c r="B56" s="4" t="s">
        <v>35</v>
      </c>
      <c r="C56" s="21">
        <v>56.405</v>
      </c>
      <c r="D56" s="19">
        <v>497.15</v>
      </c>
      <c r="E56" s="13">
        <f>0+-258.92+14042.91</f>
        <v>13783.99</v>
      </c>
      <c r="F56" s="16">
        <f>3549.73</f>
        <v>3549.73</v>
      </c>
      <c r="G56" s="13">
        <v>80979.71</v>
      </c>
      <c r="H56" s="16">
        <v>47064.33</v>
      </c>
      <c r="I56" s="13">
        <f>-258.92+95281.54</f>
        <v>95022.62</v>
      </c>
      <c r="J56" s="16">
        <f>52234.84</f>
        <v>52234.84</v>
      </c>
      <c r="K56" s="13">
        <f t="shared" si="0"/>
        <v>-258.9199999999837</v>
      </c>
      <c r="L56" s="16">
        <f t="shared" si="0"/>
        <v>-1620.7799999999916</v>
      </c>
      <c r="M56" s="13">
        <v>108332.29</v>
      </c>
      <c r="N56" s="16">
        <v>54498.04</v>
      </c>
      <c r="O56" s="13">
        <v>138014.34650764783</v>
      </c>
      <c r="P56" s="16">
        <v>68416.80029380361</v>
      </c>
      <c r="Q56" s="13">
        <f t="shared" si="1"/>
        <v>-29682.056507647838</v>
      </c>
      <c r="R56" s="16">
        <f t="shared" si="2"/>
        <v>-13918.760293803607</v>
      </c>
      <c r="S56" s="13"/>
      <c r="T56" s="16"/>
    </row>
    <row r="57" spans="1:20" ht="12.75">
      <c r="A57" s="1">
        <v>53</v>
      </c>
      <c r="B57" s="4" t="s">
        <v>37</v>
      </c>
      <c r="C57" s="21">
        <v>55.131</v>
      </c>
      <c r="D57" s="19">
        <v>591.813</v>
      </c>
      <c r="E57" s="13">
        <f>3594.15+4715.33</f>
        <v>8309.48</v>
      </c>
      <c r="F57" s="16">
        <f>424</f>
        <v>424</v>
      </c>
      <c r="G57" s="13">
        <v>62582.12</v>
      </c>
      <c r="H57" s="16">
        <v>49282.44</v>
      </c>
      <c r="I57" s="13">
        <f>3594.15+68745.47</f>
        <v>72339.62</v>
      </c>
      <c r="J57" s="16">
        <f>46865.57</f>
        <v>46865.57</v>
      </c>
      <c r="K57" s="13">
        <f t="shared" si="0"/>
        <v>-1448.0199999999895</v>
      </c>
      <c r="L57" s="16">
        <f t="shared" si="0"/>
        <v>2840.8700000000026</v>
      </c>
      <c r="M57" s="13">
        <v>105926.48</v>
      </c>
      <c r="N57" s="16">
        <v>64825.9</v>
      </c>
      <c r="O57" s="13">
        <v>135307.960979314</v>
      </c>
      <c r="P57" s="16">
        <v>80178.55051344019</v>
      </c>
      <c r="Q57" s="13">
        <f t="shared" si="1"/>
        <v>-29381.480979314</v>
      </c>
      <c r="R57" s="16">
        <f t="shared" si="2"/>
        <v>-15352.650513440189</v>
      </c>
      <c r="S57" s="13"/>
      <c r="T57" s="16"/>
    </row>
    <row r="58" spans="1:20" ht="12.75">
      <c r="A58" s="1">
        <v>54</v>
      </c>
      <c r="B58" s="4" t="s">
        <v>38</v>
      </c>
      <c r="C58" s="21">
        <v>56.263</v>
      </c>
      <c r="D58" s="19">
        <v>367.84</v>
      </c>
      <c r="E58" s="13">
        <f>1498.87+-243.23+8765.49-0.32</f>
        <v>10020.81</v>
      </c>
      <c r="F58" s="16">
        <f>283.02+636-0.04</f>
        <v>918.98</v>
      </c>
      <c r="G58" s="13">
        <v>76953.56</v>
      </c>
      <c r="H58" s="16">
        <v>39020.76</v>
      </c>
      <c r="I58" s="13">
        <f>1255.64+86075.08</f>
        <v>87330.72</v>
      </c>
      <c r="J58" s="16">
        <f>283.02+33902.17</f>
        <v>34185.189999999995</v>
      </c>
      <c r="K58" s="13">
        <f t="shared" si="0"/>
        <v>-356.3500000000058</v>
      </c>
      <c r="L58" s="16">
        <f t="shared" si="0"/>
        <v>5754.55000000001</v>
      </c>
      <c r="M58" s="13">
        <v>108117.6</v>
      </c>
      <c r="N58" s="16">
        <v>40281.47</v>
      </c>
      <c r="O58" s="13">
        <v>137778.78232191497</v>
      </c>
      <c r="P58" s="16">
        <v>52226.44282188022</v>
      </c>
      <c r="Q58" s="13">
        <f t="shared" si="1"/>
        <v>-29661.182321914966</v>
      </c>
      <c r="R58" s="16">
        <f t="shared" si="2"/>
        <v>-11944.97282188022</v>
      </c>
      <c r="S58" s="13"/>
      <c r="T58" s="16"/>
    </row>
    <row r="59" spans="1:20" ht="12.75">
      <c r="A59" s="1">
        <v>55</v>
      </c>
      <c r="B59" s="9" t="s">
        <v>65</v>
      </c>
      <c r="C59" s="21">
        <v>401.036</v>
      </c>
      <c r="D59" s="19">
        <v>2243.334</v>
      </c>
      <c r="E59" s="13">
        <f>107544.48-5513.33</f>
        <v>102031.15</v>
      </c>
      <c r="F59" s="16">
        <f>16884.18</f>
        <v>16884.18</v>
      </c>
      <c r="G59" s="13">
        <v>848954.73</v>
      </c>
      <c r="H59" s="16">
        <v>234950.09</v>
      </c>
      <c r="I59" s="13">
        <f>953524.35</f>
        <v>953524.35</v>
      </c>
      <c r="J59" s="16">
        <f>189082.17+48028.17</f>
        <v>237110.34000000003</v>
      </c>
      <c r="K59" s="13">
        <f t="shared" si="0"/>
        <v>-2538.469999999972</v>
      </c>
      <c r="L59" s="16">
        <f t="shared" si="0"/>
        <v>14723.929999999964</v>
      </c>
      <c r="M59" s="13">
        <v>870814.18</v>
      </c>
      <c r="N59" s="16">
        <v>278898.97</v>
      </c>
      <c r="O59" s="13">
        <v>933633.3466236948</v>
      </c>
      <c r="P59" s="16">
        <v>261704.27884183804</v>
      </c>
      <c r="Q59" s="13">
        <f t="shared" si="1"/>
        <v>-62819.166623694706</v>
      </c>
      <c r="R59" s="16">
        <f t="shared" si="2"/>
        <v>17194.691158161935</v>
      </c>
      <c r="S59" s="13"/>
      <c r="T59" s="16"/>
    </row>
    <row r="60" spans="1:20" ht="12.75">
      <c r="A60" s="1">
        <v>56</v>
      </c>
      <c r="B60" s="9" t="s">
        <v>68</v>
      </c>
      <c r="C60" s="21">
        <v>93.579</v>
      </c>
      <c r="D60" s="19">
        <v>721.173</v>
      </c>
      <c r="E60" s="13">
        <f>40932.45</f>
        <v>40932.45</v>
      </c>
      <c r="F60" s="16">
        <f>22776.61</f>
        <v>22776.61</v>
      </c>
      <c r="G60" s="13">
        <v>178576.47</v>
      </c>
      <c r="H60" s="16">
        <v>79667.83</v>
      </c>
      <c r="I60" s="13">
        <f>216563.78</f>
        <v>216563.78</v>
      </c>
      <c r="J60" s="16">
        <f>77898.98+18855.45</f>
        <v>96754.43</v>
      </c>
      <c r="K60" s="13">
        <f t="shared" si="0"/>
        <v>2945.139999999985</v>
      </c>
      <c r="L60" s="16">
        <f t="shared" si="0"/>
        <v>5690.010000000009</v>
      </c>
      <c r="M60" s="13">
        <v>203846.67</v>
      </c>
      <c r="N60" s="16">
        <v>89674.13</v>
      </c>
      <c r="O60" s="13">
        <v>192098.56930434733</v>
      </c>
      <c r="P60" s="16">
        <v>74800.33937197701</v>
      </c>
      <c r="Q60" s="13">
        <f t="shared" si="1"/>
        <v>11748.100695652683</v>
      </c>
      <c r="R60" s="16">
        <f t="shared" si="2"/>
        <v>14873.790628022994</v>
      </c>
      <c r="S60" s="13"/>
      <c r="T60" s="16"/>
    </row>
    <row r="61" spans="1:20" ht="12.75">
      <c r="A61" s="1">
        <v>57</v>
      </c>
      <c r="B61" s="9" t="s">
        <v>66</v>
      </c>
      <c r="C61" s="21">
        <v>106.644</v>
      </c>
      <c r="D61" s="19">
        <v>682.943</v>
      </c>
      <c r="E61" s="13">
        <f>44724.34</f>
        <v>44724.34</v>
      </c>
      <c r="F61" s="16">
        <f>8188.96</f>
        <v>8188.96</v>
      </c>
      <c r="G61" s="13">
        <v>220636.52</v>
      </c>
      <c r="H61" s="16">
        <v>75684.14</v>
      </c>
      <c r="I61" s="13">
        <f>247497.49</f>
        <v>247497.49</v>
      </c>
      <c r="J61" s="16">
        <f>59249.42+13310.26</f>
        <v>72559.68</v>
      </c>
      <c r="K61" s="13">
        <f t="shared" si="0"/>
        <v>17863.369999999995</v>
      </c>
      <c r="L61" s="16">
        <f t="shared" si="0"/>
        <v>11313.420000000013</v>
      </c>
      <c r="M61" s="13">
        <v>233100.05</v>
      </c>
      <c r="N61" s="16">
        <v>84387.17</v>
      </c>
      <c r="O61" s="13">
        <v>224622.4903333316</v>
      </c>
      <c r="P61" s="16">
        <v>69578.22555320154</v>
      </c>
      <c r="Q61" s="13">
        <f t="shared" si="1"/>
        <v>8477.559666668385</v>
      </c>
      <c r="R61" s="16">
        <f t="shared" si="2"/>
        <v>14808.944446798458</v>
      </c>
      <c r="S61" s="13"/>
      <c r="T61" s="16"/>
    </row>
    <row r="62" spans="1:20" ht="12.75">
      <c r="A62" s="1">
        <v>58</v>
      </c>
      <c r="B62" s="9" t="s">
        <v>67</v>
      </c>
      <c r="C62" s="21">
        <v>379.582</v>
      </c>
      <c r="D62" s="19">
        <v>1896.019</v>
      </c>
      <c r="E62" s="13">
        <f>247071.72</f>
        <v>247071.72</v>
      </c>
      <c r="F62" s="16">
        <f>182363.76</f>
        <v>182363.76</v>
      </c>
      <c r="G62" s="13">
        <v>843311.01</v>
      </c>
      <c r="H62" s="16">
        <v>239284.07</v>
      </c>
      <c r="I62" s="13">
        <f>896163.81</f>
        <v>896163.81</v>
      </c>
      <c r="J62" s="16">
        <f>192635.96+34315.13</f>
        <v>226951.09</v>
      </c>
      <c r="K62" s="13">
        <f t="shared" si="0"/>
        <v>194218.91999999993</v>
      </c>
      <c r="L62" s="16">
        <f t="shared" si="0"/>
        <v>194696.74000000002</v>
      </c>
      <c r="M62" s="13">
        <v>824701.72</v>
      </c>
      <c r="N62" s="16">
        <v>236225.93</v>
      </c>
      <c r="O62" s="13">
        <v>882365.4928750957</v>
      </c>
      <c r="P62" s="16">
        <v>219554.63672743618</v>
      </c>
      <c r="Q62" s="13">
        <f t="shared" si="1"/>
        <v>-57663.77287509572</v>
      </c>
      <c r="R62" s="16">
        <f t="shared" si="2"/>
        <v>16671.29327256381</v>
      </c>
      <c r="S62" s="13"/>
      <c r="T62" s="16"/>
    </row>
    <row r="63" spans="1:20" ht="12.75">
      <c r="A63" s="1">
        <v>59</v>
      </c>
      <c r="B63" s="4" t="s">
        <v>0</v>
      </c>
      <c r="C63" s="21">
        <v>508.662</v>
      </c>
      <c r="D63" s="19">
        <v>2876.978</v>
      </c>
      <c r="E63" s="13">
        <f>304289.78-753.84</f>
        <v>303535.94</v>
      </c>
      <c r="F63" s="16">
        <f>113133.51</f>
        <v>113133.51</v>
      </c>
      <c r="G63" s="13">
        <v>949026.8</v>
      </c>
      <c r="H63" s="16">
        <v>381379.66</v>
      </c>
      <c r="I63" s="13">
        <f>1142118.26</f>
        <v>1142118.26</v>
      </c>
      <c r="J63" s="16">
        <f>354870.4+46531.23</f>
        <v>401401.63</v>
      </c>
      <c r="K63" s="13">
        <f t="shared" si="0"/>
        <v>110444.47999999998</v>
      </c>
      <c r="L63" s="16">
        <f t="shared" si="0"/>
        <v>93111.53999999998</v>
      </c>
      <c r="M63" s="13">
        <v>1099740.53</v>
      </c>
      <c r="N63" s="16">
        <v>361546.28</v>
      </c>
      <c r="O63" s="13">
        <v>1188153.7654215775</v>
      </c>
      <c r="P63" s="16">
        <v>343337.89431001263</v>
      </c>
      <c r="Q63" s="13">
        <f t="shared" si="1"/>
        <v>-88413.23542157747</v>
      </c>
      <c r="R63" s="16">
        <f t="shared" si="2"/>
        <v>18208.385689987394</v>
      </c>
      <c r="S63" s="13"/>
      <c r="T63" s="16"/>
    </row>
    <row r="64" spans="1:20" ht="12.75">
      <c r="A64" s="1">
        <v>60</v>
      </c>
      <c r="B64" s="4" t="s">
        <v>1</v>
      </c>
      <c r="C64" s="21">
        <v>597.331</v>
      </c>
      <c r="D64" s="19">
        <v>4913.616</v>
      </c>
      <c r="E64" s="13">
        <f>469213.41</f>
        <v>469213.41</v>
      </c>
      <c r="F64" s="16">
        <f>198179.92</f>
        <v>198179.92</v>
      </c>
      <c r="G64" s="13">
        <v>1351783.13</v>
      </c>
      <c r="H64" s="16">
        <v>581026.75</v>
      </c>
      <c r="I64" s="13">
        <f>1538029.93</f>
        <v>1538029.93</v>
      </c>
      <c r="J64" s="16">
        <f>536088.89+82007.06</f>
        <v>618095.95</v>
      </c>
      <c r="K64" s="13">
        <f t="shared" si="0"/>
        <v>282966.60999999987</v>
      </c>
      <c r="L64" s="16">
        <f t="shared" si="0"/>
        <v>161110.7200000001</v>
      </c>
      <c r="M64" s="13">
        <v>1297946.79</v>
      </c>
      <c r="N64" s="16">
        <v>611918.21</v>
      </c>
      <c r="O64" s="13">
        <v>1408519.5743534109</v>
      </c>
      <c r="P64" s="16">
        <v>590638.9360214088</v>
      </c>
      <c r="Q64" s="13">
        <f t="shared" si="1"/>
        <v>-110572.78435341083</v>
      </c>
      <c r="R64" s="16">
        <f t="shared" si="2"/>
        <v>21279.273978591198</v>
      </c>
      <c r="S64" s="13"/>
      <c r="T64" s="16"/>
    </row>
    <row r="65" spans="1:20" ht="12.75">
      <c r="A65" s="1">
        <v>61</v>
      </c>
      <c r="B65" s="9" t="s">
        <v>42</v>
      </c>
      <c r="C65" s="21">
        <v>156.585</v>
      </c>
      <c r="D65" s="19">
        <v>602.234</v>
      </c>
      <c r="E65" s="13">
        <f>62743.68</f>
        <v>62743.68</v>
      </c>
      <c r="F65" s="16">
        <f>16055.95</f>
        <v>16055.95</v>
      </c>
      <c r="G65" s="13">
        <v>281368.39</v>
      </c>
      <c r="H65" s="16">
        <v>79207.27</v>
      </c>
      <c r="I65" s="13">
        <v>334934.72</v>
      </c>
      <c r="J65" s="16">
        <f>72459.8+10118.11</f>
        <v>82577.91</v>
      </c>
      <c r="K65" s="13">
        <f t="shared" si="0"/>
        <v>9177.350000000035</v>
      </c>
      <c r="L65" s="16">
        <f t="shared" si="0"/>
        <v>12685.309999999998</v>
      </c>
      <c r="M65" s="13">
        <v>336910.96</v>
      </c>
      <c r="N65" s="16">
        <v>75344.3</v>
      </c>
      <c r="O65" s="13">
        <v>340039.5067186857</v>
      </c>
      <c r="P65" s="16">
        <v>60646.269119184624</v>
      </c>
      <c r="Q65" s="13">
        <f t="shared" si="1"/>
        <v>-3128.546718685655</v>
      </c>
      <c r="R65" s="16">
        <f t="shared" si="2"/>
        <v>14698.030880815379</v>
      </c>
      <c r="S65" s="13"/>
      <c r="T65" s="16"/>
    </row>
    <row r="66" spans="1:20" ht="12.75">
      <c r="A66" s="1">
        <v>62</v>
      </c>
      <c r="B66" s="9" t="s">
        <v>43</v>
      </c>
      <c r="C66" s="21">
        <v>135.6</v>
      </c>
      <c r="D66" s="19">
        <v>1038.694</v>
      </c>
      <c r="E66" s="13">
        <f>41006.09</f>
        <v>41006.09</v>
      </c>
      <c r="F66" s="16">
        <f>5814.38</f>
        <v>5814.38</v>
      </c>
      <c r="G66" s="13">
        <v>259130.38</v>
      </c>
      <c r="H66" s="16">
        <v>91539.62</v>
      </c>
      <c r="I66" s="13">
        <f>298415.14</f>
        <v>298415.14</v>
      </c>
      <c r="J66" s="16">
        <f>75789.06+11917.94</f>
        <v>87707</v>
      </c>
      <c r="K66" s="13">
        <f t="shared" si="0"/>
        <v>1721.329999999958</v>
      </c>
      <c r="L66" s="16">
        <f t="shared" si="0"/>
        <v>9647</v>
      </c>
      <c r="M66" s="13">
        <v>294097.54</v>
      </c>
      <c r="N66" s="16">
        <v>129253.43</v>
      </c>
      <c r="O66" s="13">
        <v>292439.52712450764</v>
      </c>
      <c r="P66" s="16">
        <v>113894.18715358681</v>
      </c>
      <c r="Q66" s="13">
        <f t="shared" si="1"/>
        <v>1658.0128754923353</v>
      </c>
      <c r="R66" s="16">
        <f t="shared" si="2"/>
        <v>15359.24284641318</v>
      </c>
      <c r="S66" s="13"/>
      <c r="T66" s="16"/>
    </row>
    <row r="67" spans="1:20" ht="12.75">
      <c r="A67" s="1">
        <v>63</v>
      </c>
      <c r="B67" s="4" t="s">
        <v>2</v>
      </c>
      <c r="C67" s="21">
        <v>492.533</v>
      </c>
      <c r="D67" s="19">
        <v>3337.741</v>
      </c>
      <c r="E67" s="13">
        <f>193588.96</f>
        <v>193588.96</v>
      </c>
      <c r="F67" s="16">
        <f>123120.45</f>
        <v>123120.45</v>
      </c>
      <c r="G67" s="13">
        <v>1138223.42</v>
      </c>
      <c r="H67" s="16">
        <v>399412.03</v>
      </c>
      <c r="I67" s="13">
        <f>1244497.35</f>
        <v>1244497.35</v>
      </c>
      <c r="J67" s="16">
        <f>354751.52+60445.54</f>
        <v>415197.06</v>
      </c>
      <c r="K67" s="13">
        <f t="shared" si="0"/>
        <v>87315.0299999998</v>
      </c>
      <c r="L67" s="16">
        <f t="shared" si="0"/>
        <v>107335.42000000004</v>
      </c>
      <c r="M67" s="13">
        <v>1072966.3</v>
      </c>
      <c r="N67" s="16">
        <v>415018.86</v>
      </c>
      <c r="O67" s="13">
        <v>1158386.1644765974</v>
      </c>
      <c r="P67" s="16">
        <v>396154.6167636677</v>
      </c>
      <c r="Q67" s="13">
        <f t="shared" si="1"/>
        <v>-85419.8644765974</v>
      </c>
      <c r="R67" s="16">
        <f t="shared" si="2"/>
        <v>18864.24323633226</v>
      </c>
      <c r="S67" s="13"/>
      <c r="T67" s="16"/>
    </row>
    <row r="68" spans="1:20" ht="12.75">
      <c r="A68" s="1">
        <v>64</v>
      </c>
      <c r="B68" s="4" t="s">
        <v>3</v>
      </c>
      <c r="C68" s="21">
        <v>543.727</v>
      </c>
      <c r="D68" s="19">
        <v>4925.365</v>
      </c>
      <c r="E68" s="13">
        <f>287668.13-1754.37</f>
        <v>285913.76</v>
      </c>
      <c r="F68" s="16">
        <f>170967.33</f>
        <v>170967.33</v>
      </c>
      <c r="G68" s="13">
        <v>1312063.38</v>
      </c>
      <c r="H68" s="16">
        <v>508408.59</v>
      </c>
      <c r="I68" s="13">
        <f>1471100.78</f>
        <v>1471100.78</v>
      </c>
      <c r="J68" s="16">
        <f>434926.81+90306.26</f>
        <v>525233.07</v>
      </c>
      <c r="K68" s="13">
        <f t="shared" si="0"/>
        <v>126876.35999999987</v>
      </c>
      <c r="L68" s="16">
        <f t="shared" si="0"/>
        <v>154142.8500000001</v>
      </c>
      <c r="M68" s="13">
        <v>1191887.01</v>
      </c>
      <c r="N68" s="16">
        <v>612508.3</v>
      </c>
      <c r="O68" s="13">
        <v>1290602.263291529</v>
      </c>
      <c r="P68" s="16">
        <v>591221.7883871014</v>
      </c>
      <c r="Q68" s="13">
        <f t="shared" si="1"/>
        <v>-98715.2532915289</v>
      </c>
      <c r="R68" s="16">
        <f t="shared" si="2"/>
        <v>21286.51161289867</v>
      </c>
      <c r="S68" s="13"/>
      <c r="T68" s="16"/>
    </row>
    <row r="69" spans="1:20" ht="12.75">
      <c r="A69" s="1">
        <v>65</v>
      </c>
      <c r="B69" s="4" t="s">
        <v>4</v>
      </c>
      <c r="C69" s="21">
        <v>485.371</v>
      </c>
      <c r="D69" s="19">
        <v>4852.436</v>
      </c>
      <c r="E69" s="13">
        <f>391126.91-2992.13</f>
        <v>388134.77999999997</v>
      </c>
      <c r="F69" s="16">
        <f>245143.74</f>
        <v>245143.74</v>
      </c>
      <c r="G69" s="13">
        <v>1150715.37</v>
      </c>
      <c r="H69" s="16">
        <v>550529.9</v>
      </c>
      <c r="I69" s="13">
        <f>1316846.29</f>
        <v>1316846.29</v>
      </c>
      <c r="J69" s="16">
        <f>481920.84+98712.73</f>
        <v>580633.5700000001</v>
      </c>
      <c r="K69" s="13">
        <f t="shared" si="0"/>
        <v>222003.8600000001</v>
      </c>
      <c r="L69" s="16">
        <f t="shared" si="0"/>
        <v>215040.06999999995</v>
      </c>
      <c r="M69" s="13">
        <v>1063369.77</v>
      </c>
      <c r="N69" s="16">
        <v>605357.55</v>
      </c>
      <c r="O69" s="13">
        <v>1147716.738110404</v>
      </c>
      <c r="P69" s="16">
        <v>584158.7445226483</v>
      </c>
      <c r="Q69" s="13">
        <f t="shared" si="1"/>
        <v>-84346.96811040398</v>
      </c>
      <c r="R69" s="16">
        <f t="shared" si="2"/>
        <v>21198.805477351765</v>
      </c>
      <c r="S69" s="13"/>
      <c r="T69" s="16"/>
    </row>
    <row r="70" spans="1:20" ht="12.75">
      <c r="A70" s="1">
        <v>66</v>
      </c>
      <c r="B70" s="4" t="s">
        <v>29</v>
      </c>
      <c r="C70" s="21">
        <v>505.373</v>
      </c>
      <c r="D70" s="19">
        <v>4699.908</v>
      </c>
      <c r="E70" s="13">
        <f>276264.97</f>
        <v>276264.97</v>
      </c>
      <c r="F70" s="16">
        <f>198634.23</f>
        <v>198634.23</v>
      </c>
      <c r="G70" s="13">
        <v>1242677.78</v>
      </c>
      <c r="H70" s="16">
        <v>562522.24</v>
      </c>
      <c r="I70" s="13">
        <f>1462860.15</f>
        <v>1462860.15</v>
      </c>
      <c r="J70" s="16">
        <f>566157.14+78036.19</f>
        <v>644193.3300000001</v>
      </c>
      <c r="K70" s="13">
        <f aca="true" t="shared" si="3" ref="K70:L87">E70+G70-I70</f>
        <v>56082.60000000009</v>
      </c>
      <c r="L70" s="16">
        <f t="shared" si="3"/>
        <v>116963.1399999999</v>
      </c>
      <c r="M70" s="13">
        <v>1111259.07</v>
      </c>
      <c r="N70" s="16">
        <v>584141.86</v>
      </c>
      <c r="O70" s="13">
        <v>1200960.0833694246</v>
      </c>
      <c r="P70" s="16">
        <v>563203.2714485457</v>
      </c>
      <c r="Q70" s="13">
        <f aca="true" t="shared" si="4" ref="Q70:Q87">M70-O70</f>
        <v>-89701.0133694245</v>
      </c>
      <c r="R70" s="16">
        <f aca="true" t="shared" si="5" ref="R70:R87">N70-P70</f>
        <v>20938.588551454246</v>
      </c>
      <c r="S70" s="13"/>
      <c r="T70" s="16"/>
    </row>
    <row r="71" spans="1:20" ht="12.75">
      <c r="A71" s="1">
        <v>67</v>
      </c>
      <c r="B71" s="4" t="s">
        <v>5</v>
      </c>
      <c r="C71" s="21">
        <v>525.198</v>
      </c>
      <c r="D71" s="19">
        <v>4350.601</v>
      </c>
      <c r="E71" s="13">
        <f>258165.64-0.01</f>
        <v>258165.63</v>
      </c>
      <c r="F71" s="16">
        <f>154274.16</f>
        <v>154274.16</v>
      </c>
      <c r="G71" s="13">
        <v>1067662.73</v>
      </c>
      <c r="H71" s="16">
        <v>517774.97</v>
      </c>
      <c r="I71" s="13">
        <f>1191207.42</f>
        <v>1191207.42</v>
      </c>
      <c r="J71" s="16">
        <f>435289.43+72310.39</f>
        <v>507599.82</v>
      </c>
      <c r="K71" s="13">
        <f t="shared" si="3"/>
        <v>134620.93999999994</v>
      </c>
      <c r="L71" s="16">
        <f t="shared" si="3"/>
        <v>164449.31</v>
      </c>
      <c r="M71" s="13">
        <v>1147995.4</v>
      </c>
      <c r="N71" s="16">
        <v>540879.92</v>
      </c>
      <c r="O71" s="13">
        <v>1241803.5515708667</v>
      </c>
      <c r="P71" s="16">
        <v>520471.95237273764</v>
      </c>
      <c r="Q71" s="13">
        <f t="shared" si="4"/>
        <v>-93808.15157086682</v>
      </c>
      <c r="R71" s="16">
        <f t="shared" si="5"/>
        <v>20407.967627262406</v>
      </c>
      <c r="S71" s="13"/>
      <c r="T71" s="16"/>
    </row>
    <row r="72" spans="1:20" ht="12.75">
      <c r="A72" s="1">
        <v>68</v>
      </c>
      <c r="B72" s="4" t="s">
        <v>6</v>
      </c>
      <c r="C72" s="21">
        <v>589.807</v>
      </c>
      <c r="D72" s="19">
        <v>4561.517</v>
      </c>
      <c r="E72" s="13">
        <f>418466.88</f>
        <v>418466.88</v>
      </c>
      <c r="F72" s="16">
        <f>263081.99</f>
        <v>263081.99</v>
      </c>
      <c r="G72" s="13">
        <v>1386308.33</v>
      </c>
      <c r="H72" s="16">
        <v>583328.39</v>
      </c>
      <c r="I72" s="13">
        <f>1474080.96</f>
        <v>1474080.96</v>
      </c>
      <c r="J72" s="16">
        <f>440871.84+80908.05</f>
        <v>521779.89</v>
      </c>
      <c r="K72" s="13">
        <f t="shared" si="3"/>
        <v>330694.25</v>
      </c>
      <c r="L72" s="16">
        <f t="shared" si="3"/>
        <v>324630.49</v>
      </c>
      <c r="M72" s="13">
        <v>1288020.93</v>
      </c>
      <c r="N72" s="16">
        <v>568981.54</v>
      </c>
      <c r="O72" s="13">
        <v>1397483.998745233</v>
      </c>
      <c r="P72" s="16">
        <v>548228.8974095786</v>
      </c>
      <c r="Q72" s="13">
        <f t="shared" si="4"/>
        <v>-109463.06874523312</v>
      </c>
      <c r="R72" s="16">
        <f t="shared" si="5"/>
        <v>20752.642590421485</v>
      </c>
      <c r="S72" s="13"/>
      <c r="T72" s="16"/>
    </row>
    <row r="73" spans="1:20" ht="12.75">
      <c r="A73" s="1">
        <v>69</v>
      </c>
      <c r="B73" s="4" t="s">
        <v>40</v>
      </c>
      <c r="C73" s="21">
        <v>394.291</v>
      </c>
      <c r="D73" s="19">
        <v>3197.812</v>
      </c>
      <c r="E73" s="13">
        <f>132189.49</f>
        <v>132189.49</v>
      </c>
      <c r="F73" s="16">
        <f>54686.51</f>
        <v>54686.51</v>
      </c>
      <c r="G73" s="13">
        <v>957092.5</v>
      </c>
      <c r="H73" s="16">
        <v>411659.23</v>
      </c>
      <c r="I73" s="13">
        <f>1042136.81</f>
        <v>1042136.81</v>
      </c>
      <c r="J73" s="16">
        <f>341442.09+43491.28</f>
        <v>384933.37</v>
      </c>
      <c r="K73" s="13">
        <f t="shared" si="3"/>
        <v>47145.179999999935</v>
      </c>
      <c r="L73" s="16">
        <f t="shared" si="3"/>
        <v>81412.37</v>
      </c>
      <c r="M73" s="13">
        <v>865245.35</v>
      </c>
      <c r="N73" s="16">
        <v>400683.82</v>
      </c>
      <c r="O73" s="13">
        <v>927441.9189273454</v>
      </c>
      <c r="P73" s="16">
        <v>381995.40041311865</v>
      </c>
      <c r="Q73" s="13">
        <f t="shared" si="4"/>
        <v>-62196.56892734545</v>
      </c>
      <c r="R73" s="16">
        <f t="shared" si="5"/>
        <v>18688.419586881355</v>
      </c>
      <c r="S73" s="13"/>
      <c r="T73" s="16"/>
    </row>
    <row r="74" spans="1:20" ht="12.75">
      <c r="A74" s="1">
        <v>70</v>
      </c>
      <c r="B74" s="4" t="s">
        <v>7</v>
      </c>
      <c r="C74" s="21">
        <v>587.732</v>
      </c>
      <c r="D74" s="19">
        <v>3888.109</v>
      </c>
      <c r="E74" s="13">
        <f>240639.46</f>
        <v>240639.46</v>
      </c>
      <c r="F74" s="16">
        <f>141186.6</f>
        <v>141186.6</v>
      </c>
      <c r="G74" s="13">
        <v>1354302.19</v>
      </c>
      <c r="H74" s="16">
        <v>475702.2</v>
      </c>
      <c r="I74" s="13">
        <f>1527767.62</f>
        <v>1527767.62</v>
      </c>
      <c r="J74" s="16">
        <f>454906.39+66662.57</f>
        <v>521568.96</v>
      </c>
      <c r="K74" s="13">
        <f t="shared" si="3"/>
        <v>67174.0299999998</v>
      </c>
      <c r="L74" s="16">
        <f t="shared" si="3"/>
        <v>95319.84000000003</v>
      </c>
      <c r="M74" s="13">
        <v>1279251.94</v>
      </c>
      <c r="N74" s="16">
        <v>485238.2</v>
      </c>
      <c r="O74" s="13">
        <v>1387734.631722894</v>
      </c>
      <c r="P74" s="16">
        <v>465512.69508453505</v>
      </c>
      <c r="Q74" s="13">
        <f t="shared" si="4"/>
        <v>-108482.69172289409</v>
      </c>
      <c r="R74" s="16">
        <f t="shared" si="5"/>
        <v>19725.50491546496</v>
      </c>
      <c r="S74" s="13"/>
      <c r="T74" s="16"/>
    </row>
    <row r="75" spans="1:20" ht="12.75">
      <c r="A75" s="1">
        <v>71</v>
      </c>
      <c r="B75" s="4" t="s">
        <v>41</v>
      </c>
      <c r="C75" s="21">
        <v>540.409</v>
      </c>
      <c r="D75" s="19">
        <v>5223.289</v>
      </c>
      <c r="E75" s="13">
        <f>280012.49</f>
        <v>280012.49</v>
      </c>
      <c r="F75" s="16">
        <f>143687.45</f>
        <v>143687.45</v>
      </c>
      <c r="G75" s="13">
        <v>1254559.73</v>
      </c>
      <c r="H75" s="16">
        <v>666985.41</v>
      </c>
      <c r="I75" s="13">
        <f>1396037.84</f>
        <v>1396037.84</v>
      </c>
      <c r="J75" s="16">
        <f>554759.42+80129.64</f>
        <v>634889.06</v>
      </c>
      <c r="K75" s="13">
        <f t="shared" si="3"/>
        <v>138534.3799999999</v>
      </c>
      <c r="L75" s="16">
        <f t="shared" si="3"/>
        <v>175783.80000000005</v>
      </c>
      <c r="M75" s="13">
        <v>1177465.51</v>
      </c>
      <c r="N75" s="16">
        <v>652761.52</v>
      </c>
      <c r="O75" s="13">
        <v>1274568.4331112385</v>
      </c>
      <c r="P75" s="16">
        <v>630981.2903338171</v>
      </c>
      <c r="Q75" s="13">
        <f t="shared" si="4"/>
        <v>-97102.92311123852</v>
      </c>
      <c r="R75" s="16">
        <f t="shared" si="5"/>
        <v>21780.229666182888</v>
      </c>
      <c r="S75" s="13"/>
      <c r="T75" s="16"/>
    </row>
    <row r="76" spans="1:20" ht="12.75">
      <c r="A76" s="1">
        <v>72</v>
      </c>
      <c r="B76" s="4" t="s">
        <v>69</v>
      </c>
      <c r="C76" s="21">
        <v>63.27</v>
      </c>
      <c r="D76" s="19"/>
      <c r="E76" s="13">
        <f>36422.61</f>
        <v>36422.61</v>
      </c>
      <c r="F76" s="16"/>
      <c r="G76" s="13">
        <v>147329.12</v>
      </c>
      <c r="H76" s="16"/>
      <c r="I76" s="13">
        <f>153218.39</f>
        <v>153218.39</v>
      </c>
      <c r="J76" s="16"/>
      <c r="K76" s="13">
        <f t="shared" si="3"/>
        <v>30533.339999999967</v>
      </c>
      <c r="L76" s="16">
        <f t="shared" si="3"/>
        <v>0</v>
      </c>
      <c r="M76" s="13">
        <v>115259.59</v>
      </c>
      <c r="N76" s="16">
        <v>316211.58</v>
      </c>
      <c r="O76" s="13">
        <v>93607.4139538098</v>
      </c>
      <c r="P76" s="16">
        <v>298559.2382694827</v>
      </c>
      <c r="Q76" s="13">
        <f t="shared" si="4"/>
        <v>21652.1760461902</v>
      </c>
      <c r="R76" s="16">
        <f t="shared" si="5"/>
        <v>17652.341730517335</v>
      </c>
      <c r="S76" s="13"/>
      <c r="T76" s="16"/>
    </row>
    <row r="77" spans="1:20" ht="12.75">
      <c r="A77" s="1">
        <v>73</v>
      </c>
      <c r="B77" s="4" t="s">
        <v>70</v>
      </c>
      <c r="C77" s="21">
        <v>64.484</v>
      </c>
      <c r="D77" s="19"/>
      <c r="E77" s="13">
        <f>59625.5</f>
        <v>59625.5</v>
      </c>
      <c r="F77" s="16"/>
      <c r="G77" s="13">
        <v>137664.31</v>
      </c>
      <c r="H77" s="16"/>
      <c r="I77" s="13">
        <f>145926.79</f>
        <v>145926.79</v>
      </c>
      <c r="J77" s="16"/>
      <c r="K77" s="13">
        <f t="shared" si="3"/>
        <v>51363.01999999999</v>
      </c>
      <c r="L77" s="16">
        <f t="shared" si="3"/>
        <v>0</v>
      </c>
      <c r="M77" s="13">
        <v>117471.15</v>
      </c>
      <c r="N77" s="16">
        <v>367196.93</v>
      </c>
      <c r="O77" s="13">
        <v>96066.22735557261</v>
      </c>
      <c r="P77" s="16">
        <v>348919.2473597167</v>
      </c>
      <c r="Q77" s="13">
        <f t="shared" si="4"/>
        <v>21404.92264442738</v>
      </c>
      <c r="R77" s="16">
        <f t="shared" si="5"/>
        <v>18277.68264028331</v>
      </c>
      <c r="S77" s="13"/>
      <c r="T77" s="16"/>
    </row>
    <row r="78" spans="1:20" ht="12.75">
      <c r="A78" s="1">
        <v>74</v>
      </c>
      <c r="B78" s="4" t="s">
        <v>71</v>
      </c>
      <c r="C78" s="21">
        <v>57.346</v>
      </c>
      <c r="D78" s="19"/>
      <c r="E78" s="13">
        <f>75706.18</f>
        <v>75706.18</v>
      </c>
      <c r="F78" s="16"/>
      <c r="G78" s="13">
        <v>132164</v>
      </c>
      <c r="H78" s="16"/>
      <c r="I78" s="13">
        <f>121242.6</f>
        <v>121242.6</v>
      </c>
      <c r="J78" s="16"/>
      <c r="K78" s="13">
        <f t="shared" si="3"/>
        <v>86627.57999999999</v>
      </c>
      <c r="L78" s="16">
        <f t="shared" si="3"/>
        <v>0</v>
      </c>
      <c r="M78" s="13">
        <v>104467.78</v>
      </c>
      <c r="N78" s="16">
        <v>165606.11</v>
      </c>
      <c r="O78" s="13">
        <v>81609.07474651813</v>
      </c>
      <c r="P78" s="16">
        <v>149800.99041624105</v>
      </c>
      <c r="Q78" s="13">
        <f t="shared" si="4"/>
        <v>22858.705253481865</v>
      </c>
      <c r="R78" s="16">
        <f t="shared" si="5"/>
        <v>15805.119583758933</v>
      </c>
      <c r="S78" s="13"/>
      <c r="T78" s="16"/>
    </row>
    <row r="79" spans="1:20" ht="12.75">
      <c r="A79" s="1">
        <v>75</v>
      </c>
      <c r="B79" s="4" t="s">
        <v>72</v>
      </c>
      <c r="C79" s="21">
        <v>43.69</v>
      </c>
      <c r="D79" s="19"/>
      <c r="E79" s="13">
        <f>12889.18</f>
        <v>12889.18</v>
      </c>
      <c r="F79" s="16"/>
      <c r="G79" s="13">
        <v>102325.09</v>
      </c>
      <c r="H79" s="16"/>
      <c r="I79" s="13">
        <f>102658.54</f>
        <v>102658.54</v>
      </c>
      <c r="J79" s="16"/>
      <c r="K79" s="13">
        <f t="shared" si="3"/>
        <v>12555.729999999996</v>
      </c>
      <c r="L79" s="16">
        <f t="shared" si="3"/>
        <v>0</v>
      </c>
      <c r="M79" s="13">
        <v>79590.51</v>
      </c>
      <c r="N79" s="16"/>
      <c r="O79" s="13">
        <v>53950.514781935606</v>
      </c>
      <c r="P79" s="16">
        <v>0</v>
      </c>
      <c r="Q79" s="13">
        <f t="shared" si="4"/>
        <v>25639.99521806439</v>
      </c>
      <c r="R79" s="16">
        <f t="shared" si="5"/>
        <v>0</v>
      </c>
      <c r="S79" s="13"/>
      <c r="T79" s="16"/>
    </row>
    <row r="80" spans="1:20" ht="12.75">
      <c r="A80" s="1">
        <v>76</v>
      </c>
      <c r="B80" s="4" t="s">
        <v>73</v>
      </c>
      <c r="C80" s="21">
        <v>40.729</v>
      </c>
      <c r="D80" s="19"/>
      <c r="E80" s="13">
        <f>13711.61-2.49</f>
        <v>13709.12</v>
      </c>
      <c r="F80" s="16"/>
      <c r="G80" s="13">
        <v>79321.12</v>
      </c>
      <c r="H80" s="16"/>
      <c r="I80" s="13">
        <f>85232.44</f>
        <v>85232.44</v>
      </c>
      <c r="J80" s="16"/>
      <c r="K80" s="13">
        <f t="shared" si="3"/>
        <v>7797.799999999988</v>
      </c>
      <c r="L80" s="16">
        <f t="shared" si="3"/>
        <v>0</v>
      </c>
      <c r="M80" s="13">
        <v>74196.43</v>
      </c>
      <c r="N80" s="16"/>
      <c r="O80" s="13">
        <v>44953.37421410982</v>
      </c>
      <c r="P80" s="16">
        <v>0</v>
      </c>
      <c r="Q80" s="13">
        <f t="shared" si="4"/>
        <v>29243.055785890174</v>
      </c>
      <c r="R80" s="16">
        <f t="shared" si="5"/>
        <v>0</v>
      </c>
      <c r="S80" s="13"/>
      <c r="T80" s="16"/>
    </row>
    <row r="81" spans="1:20" ht="12.75">
      <c r="A81" s="1">
        <v>77</v>
      </c>
      <c r="B81" s="4" t="s">
        <v>74</v>
      </c>
      <c r="C81" s="21">
        <v>43.311</v>
      </c>
      <c r="D81" s="19"/>
      <c r="E81" s="13">
        <f>80039.94</f>
        <v>80039.94</v>
      </c>
      <c r="F81" s="16"/>
      <c r="G81" s="13">
        <v>97841.07</v>
      </c>
      <c r="H81" s="16"/>
      <c r="I81" s="13">
        <f>103461.91</f>
        <v>103461.91</v>
      </c>
      <c r="J81" s="16"/>
      <c r="K81" s="13">
        <f t="shared" si="3"/>
        <v>74419.1</v>
      </c>
      <c r="L81" s="16">
        <f t="shared" si="3"/>
        <v>0</v>
      </c>
      <c r="M81" s="13">
        <v>78900.08</v>
      </c>
      <c r="N81" s="16"/>
      <c r="O81" s="13">
        <v>53182.894397691416</v>
      </c>
      <c r="P81" s="16">
        <v>0</v>
      </c>
      <c r="Q81" s="13">
        <f t="shared" si="4"/>
        <v>25717.185602308586</v>
      </c>
      <c r="R81" s="16">
        <f t="shared" si="5"/>
        <v>0</v>
      </c>
      <c r="S81" s="13"/>
      <c r="T81" s="16"/>
    </row>
    <row r="82" spans="1:20" ht="12.75">
      <c r="A82" s="1">
        <v>78</v>
      </c>
      <c r="B82" s="4" t="s">
        <v>75</v>
      </c>
      <c r="C82" s="21">
        <v>42.721</v>
      </c>
      <c r="D82" s="19"/>
      <c r="E82" s="13">
        <f>21546.58</f>
        <v>21546.58</v>
      </c>
      <c r="F82" s="16"/>
      <c r="G82" s="13">
        <v>99242.19</v>
      </c>
      <c r="H82" s="16"/>
      <c r="I82" s="13">
        <f>99454.46</f>
        <v>99454.46</v>
      </c>
      <c r="J82" s="16"/>
      <c r="K82" s="13">
        <f t="shared" si="3"/>
        <v>21334.309999999998</v>
      </c>
      <c r="L82" s="16">
        <f t="shared" si="3"/>
        <v>0</v>
      </c>
      <c r="M82" s="13">
        <v>77825.27</v>
      </c>
      <c r="N82" s="16"/>
      <c r="O82" s="13">
        <v>51987.92015672635</v>
      </c>
      <c r="P82" s="16">
        <v>0</v>
      </c>
      <c r="Q82" s="13">
        <f t="shared" si="4"/>
        <v>25837.349843273652</v>
      </c>
      <c r="R82" s="16">
        <f t="shared" si="5"/>
        <v>0</v>
      </c>
      <c r="S82" s="13"/>
      <c r="T82" s="16"/>
    </row>
    <row r="83" spans="1:20" ht="12.75">
      <c r="A83" s="1">
        <v>79</v>
      </c>
      <c r="B83" s="4" t="s">
        <v>76</v>
      </c>
      <c r="C83" s="21">
        <v>42.419</v>
      </c>
      <c r="D83" s="19"/>
      <c r="E83" s="13">
        <f>42693.78</f>
        <v>42693.78</v>
      </c>
      <c r="F83" s="16"/>
      <c r="G83" s="13">
        <v>95976.27</v>
      </c>
      <c r="H83" s="16"/>
      <c r="I83" s="13">
        <f>81577.55</f>
        <v>81577.55</v>
      </c>
      <c r="J83" s="16"/>
      <c r="K83" s="13">
        <f t="shared" si="3"/>
        <v>57092.499999999985</v>
      </c>
      <c r="L83" s="16">
        <f t="shared" si="3"/>
        <v>0</v>
      </c>
      <c r="M83" s="13">
        <v>77275.12</v>
      </c>
      <c r="N83" s="16"/>
      <c r="O83" s="13">
        <v>51376.26313951687</v>
      </c>
      <c r="P83" s="16">
        <v>0</v>
      </c>
      <c r="Q83" s="13">
        <f t="shared" si="4"/>
        <v>25898.856860483123</v>
      </c>
      <c r="R83" s="16">
        <f t="shared" si="5"/>
        <v>0</v>
      </c>
      <c r="S83" s="13"/>
      <c r="T83" s="16"/>
    </row>
    <row r="84" spans="1:20" ht="12.75">
      <c r="A84" s="1">
        <v>80</v>
      </c>
      <c r="B84" s="4" t="s">
        <v>8</v>
      </c>
      <c r="C84" s="21">
        <v>311.695</v>
      </c>
      <c r="D84" s="19">
        <v>2832.001</v>
      </c>
      <c r="E84" s="13">
        <f>267649.91-14552.78</f>
        <v>253097.12999999998</v>
      </c>
      <c r="F84" s="16">
        <f>0+160389.92-24937.04</f>
        <v>135452.88</v>
      </c>
      <c r="G84" s="13">
        <v>643879.94</v>
      </c>
      <c r="H84" s="16">
        <v>286258.67</v>
      </c>
      <c r="I84" s="13">
        <f>688941.73</f>
        <v>688941.73</v>
      </c>
      <c r="J84" s="16">
        <f>81094.55+217121.17</f>
        <v>298215.72000000003</v>
      </c>
      <c r="K84" s="13">
        <f t="shared" si="3"/>
        <v>208035.33999999997</v>
      </c>
      <c r="L84" s="16">
        <f t="shared" si="3"/>
        <v>123495.82999999996</v>
      </c>
      <c r="M84" s="13">
        <v>568967.32</v>
      </c>
      <c r="N84" s="16"/>
      <c r="O84" s="13">
        <v>598039.8720410359</v>
      </c>
      <c r="P84" s="16">
        <v>0</v>
      </c>
      <c r="Q84" s="13">
        <f t="shared" si="4"/>
        <v>-29072.55204103596</v>
      </c>
      <c r="R84" s="16">
        <f t="shared" si="5"/>
        <v>0</v>
      </c>
      <c r="S84" s="13"/>
      <c r="T84" s="16"/>
    </row>
    <row r="85" spans="1:20" ht="12.75">
      <c r="A85" s="1">
        <v>81</v>
      </c>
      <c r="B85" s="4" t="s">
        <v>39</v>
      </c>
      <c r="C85" s="21">
        <v>557.144</v>
      </c>
      <c r="D85" s="19">
        <v>3291.921</v>
      </c>
      <c r="E85" s="13">
        <f>182621.11</f>
        <v>182621.11</v>
      </c>
      <c r="F85" s="16">
        <f>0+39443.81-13382.17</f>
        <v>26061.64</v>
      </c>
      <c r="G85" s="13">
        <v>1190875.01</v>
      </c>
      <c r="H85" s="16">
        <v>318295.32</v>
      </c>
      <c r="I85" s="13">
        <f>1277912.69</f>
        <v>1277912.69</v>
      </c>
      <c r="J85" s="16">
        <f>48312.59+213252.18</f>
        <v>261564.77</v>
      </c>
      <c r="K85" s="13">
        <f t="shared" si="3"/>
        <v>95583.43000000017</v>
      </c>
      <c r="L85" s="16">
        <f t="shared" si="3"/>
        <v>82792.19000000003</v>
      </c>
      <c r="M85" s="13">
        <v>1016452.84</v>
      </c>
      <c r="N85" s="16"/>
      <c r="O85" s="13">
        <v>1095554.4742543169</v>
      </c>
      <c r="P85" s="16">
        <v>0</v>
      </c>
      <c r="Q85" s="13">
        <f t="shared" si="4"/>
        <v>-79101.63425431692</v>
      </c>
      <c r="R85" s="16">
        <f t="shared" si="5"/>
        <v>0</v>
      </c>
      <c r="S85" s="13"/>
      <c r="T85" s="16"/>
    </row>
    <row r="86" spans="1:20" ht="12.75">
      <c r="A86" s="1">
        <v>82</v>
      </c>
      <c r="B86" s="7" t="s">
        <v>44</v>
      </c>
      <c r="C86" s="21">
        <v>417.06</v>
      </c>
      <c r="D86" s="19">
        <v>1486.079</v>
      </c>
      <c r="E86" s="13">
        <f>172905.2-54.08</f>
        <v>172851.12000000002</v>
      </c>
      <c r="F86" s="16">
        <f>0+29635.75-4538.91</f>
        <v>25096.84</v>
      </c>
      <c r="G86" s="13">
        <v>882336.13</v>
      </c>
      <c r="H86" s="16">
        <v>187689.37</v>
      </c>
      <c r="I86" s="13">
        <f>977568.75</f>
        <v>977568.75</v>
      </c>
      <c r="J86" s="16">
        <f>22898.89+155841.75</f>
        <v>178740.64</v>
      </c>
      <c r="K86" s="13">
        <f t="shared" si="3"/>
        <v>77618.5</v>
      </c>
      <c r="L86" s="16">
        <f t="shared" si="3"/>
        <v>34045.56999999998</v>
      </c>
      <c r="M86" s="13">
        <v>761234.78</v>
      </c>
      <c r="N86" s="16"/>
      <c r="O86" s="13">
        <v>811803.430464274</v>
      </c>
      <c r="P86" s="16">
        <v>0</v>
      </c>
      <c r="Q86" s="13">
        <f t="shared" si="4"/>
        <v>-50568.65046427399</v>
      </c>
      <c r="R86" s="16">
        <f t="shared" si="5"/>
        <v>0</v>
      </c>
      <c r="S86" s="13"/>
      <c r="T86" s="16"/>
    </row>
    <row r="87" spans="1:20" ht="12.75">
      <c r="A87" s="1">
        <v>83</v>
      </c>
      <c r="B87" s="7" t="s">
        <v>94</v>
      </c>
      <c r="C87" s="21">
        <v>55.221</v>
      </c>
      <c r="D87" s="19">
        <v>0</v>
      </c>
      <c r="E87" s="13">
        <f>62792.69+288452.8</f>
        <v>351245.49</v>
      </c>
      <c r="F87" s="16">
        <v>0</v>
      </c>
      <c r="G87" s="13">
        <f>135834.27</f>
        <v>135834.27</v>
      </c>
      <c r="H87" s="16">
        <v>0</v>
      </c>
      <c r="I87" s="13">
        <f>72865.47+21895.1</f>
        <v>94760.57</v>
      </c>
      <c r="J87" s="16">
        <v>0</v>
      </c>
      <c r="K87" s="13">
        <f>E87+G87-I87</f>
        <v>392319.19</v>
      </c>
      <c r="L87" s="16">
        <f t="shared" si="3"/>
        <v>0</v>
      </c>
      <c r="M87" s="13">
        <v>135834.27</v>
      </c>
      <c r="N87" s="16"/>
      <c r="O87" s="13">
        <v>0</v>
      </c>
      <c r="P87" s="16">
        <v>0</v>
      </c>
      <c r="Q87" s="13">
        <f t="shared" si="4"/>
        <v>135834.27</v>
      </c>
      <c r="R87" s="16">
        <f t="shared" si="5"/>
        <v>0</v>
      </c>
      <c r="S87" s="13"/>
      <c r="T87" s="16"/>
    </row>
    <row r="88" spans="3:20" ht="12.75">
      <c r="C88" s="10">
        <f aca="true" t="shared" si="6" ref="C88:T88">SUM(C5:C87)</f>
        <v>39635.64399999998</v>
      </c>
      <c r="D88" s="20">
        <f t="shared" si="6"/>
        <v>254726.81899999996</v>
      </c>
      <c r="E88" s="3">
        <f t="shared" si="6"/>
        <v>19082879.929999996</v>
      </c>
      <c r="F88" s="17">
        <f t="shared" si="6"/>
        <v>7716973.669999998</v>
      </c>
      <c r="G88" s="3">
        <f t="shared" si="6"/>
        <v>80076168.97000001</v>
      </c>
      <c r="H88" s="17">
        <f t="shared" si="6"/>
        <v>26800675.619999997</v>
      </c>
      <c r="I88" s="3">
        <f t="shared" si="6"/>
        <v>88485408.06000002</v>
      </c>
      <c r="J88" s="17">
        <f t="shared" si="6"/>
        <v>26128717.27</v>
      </c>
      <c r="K88" s="3">
        <f t="shared" si="6"/>
        <v>10673640.839999996</v>
      </c>
      <c r="L88" s="17">
        <f t="shared" si="6"/>
        <v>8388932.019999998</v>
      </c>
      <c r="M88" s="3">
        <f t="shared" si="6"/>
        <v>77890271.75000001</v>
      </c>
      <c r="N88" s="17">
        <f t="shared" si="6"/>
        <v>28731659.469999988</v>
      </c>
      <c r="O88" s="3">
        <f t="shared" si="6"/>
        <v>85570315.98572901</v>
      </c>
      <c r="P88" s="17">
        <f t="shared" si="6"/>
        <v>31617188.78922283</v>
      </c>
      <c r="Q88" s="3">
        <f t="shared" si="6"/>
        <v>-7680044.235729034</v>
      </c>
      <c r="R88" s="17">
        <f t="shared" si="6"/>
        <v>-2885529.3192228363</v>
      </c>
      <c r="S88" s="3">
        <f t="shared" si="6"/>
        <v>0</v>
      </c>
      <c r="T88" s="17">
        <f t="shared" si="6"/>
        <v>0</v>
      </c>
    </row>
    <row r="89" spans="1:19" s="6" customFormat="1" ht="56.25" customHeight="1">
      <c r="A89" s="26"/>
      <c r="B89" s="26"/>
      <c r="C89" s="26"/>
      <c r="D89" s="27"/>
      <c r="E89" s="5"/>
      <c r="J89" s="41"/>
      <c r="M89" s="5"/>
      <c r="N89" s="5"/>
      <c r="Q89" s="5"/>
      <c r="S89" s="5"/>
    </row>
    <row r="90" spans="1:18" s="6" customFormat="1" ht="22.5" customHeight="1">
      <c r="A90" s="26"/>
      <c r="B90" s="26"/>
      <c r="C90" s="26"/>
      <c r="D90" s="27"/>
      <c r="E90" s="5"/>
      <c r="F90" s="5"/>
      <c r="G90" s="5"/>
      <c r="H90" s="5"/>
      <c r="I90" s="5"/>
      <c r="J90" s="41"/>
      <c r="K90" s="5"/>
      <c r="L90" s="5"/>
      <c r="M90" s="5"/>
      <c r="N90" s="5"/>
      <c r="P90" s="28"/>
      <c r="Q90" s="5"/>
      <c r="R90" s="28"/>
    </row>
    <row r="91" spans="1:18" s="6" customFormat="1" ht="22.5" customHeight="1">
      <c r="A91" s="26"/>
      <c r="B91" s="26"/>
      <c r="C91" s="26"/>
      <c r="D91" s="27"/>
      <c r="E91" s="5"/>
      <c r="J91" s="41"/>
      <c r="M91" s="5"/>
      <c r="N91" s="5"/>
      <c r="P91" s="28"/>
      <c r="Q91" s="5"/>
      <c r="R91" s="29"/>
    </row>
    <row r="92" spans="1:21" s="6" customFormat="1" ht="12.75">
      <c r="A92" s="26"/>
      <c r="B92" s="26"/>
      <c r="C92" s="26"/>
      <c r="D92" s="27"/>
      <c r="E92" s="5"/>
      <c r="J92" s="41"/>
      <c r="K92" s="26"/>
      <c r="L92" s="26"/>
      <c r="M92" s="26"/>
      <c r="N92" s="26"/>
      <c r="O92" s="11"/>
      <c r="P92" s="11"/>
      <c r="Q92" s="31"/>
      <c r="R92" s="31"/>
      <c r="S92" s="26"/>
      <c r="T92" s="26"/>
      <c r="U92" s="26"/>
    </row>
    <row r="93" spans="1:21" s="6" customFormat="1" ht="12.75">
      <c r="A93" s="26"/>
      <c r="B93" s="11"/>
      <c r="C93" s="26"/>
      <c r="D93" s="27"/>
      <c r="E93" s="5"/>
      <c r="J93" s="41"/>
      <c r="K93" s="26"/>
      <c r="L93" s="26"/>
      <c r="M93" s="32"/>
      <c r="N93" s="32"/>
      <c r="O93" s="33"/>
      <c r="P93" s="33"/>
      <c r="Q93" s="34"/>
      <c r="R93" s="34"/>
      <c r="S93" s="26"/>
      <c r="T93" s="26"/>
      <c r="U93" s="26"/>
    </row>
    <row r="94" spans="1:21" s="6" customFormat="1" ht="12.75">
      <c r="A94" s="26"/>
      <c r="B94" s="26"/>
      <c r="C94" s="26"/>
      <c r="D94" s="27"/>
      <c r="E94" s="5"/>
      <c r="J94" s="41"/>
      <c r="K94" s="26"/>
      <c r="L94" s="26"/>
      <c r="M94" s="32"/>
      <c r="N94" s="32"/>
      <c r="O94" s="33"/>
      <c r="P94" s="33"/>
      <c r="Q94" s="34"/>
      <c r="R94" s="34"/>
      <c r="S94" s="26"/>
      <c r="T94" s="26"/>
      <c r="U94" s="26"/>
    </row>
    <row r="95" spans="1:21" s="6" customFormat="1" ht="12.75">
      <c r="A95" s="26"/>
      <c r="B95" s="26"/>
      <c r="C95" s="26"/>
      <c r="D95" s="27"/>
      <c r="E95" s="5"/>
      <c r="J95" s="41"/>
      <c r="K95" s="26"/>
      <c r="L95" s="26"/>
      <c r="M95" s="32"/>
      <c r="N95" s="32"/>
      <c r="O95" s="33"/>
      <c r="P95" s="33"/>
      <c r="Q95" s="34"/>
      <c r="R95" s="34"/>
      <c r="S95" s="26"/>
      <c r="T95" s="26"/>
      <c r="U95" s="26"/>
    </row>
    <row r="96" spans="1:21" s="6" customFormat="1" ht="12.75">
      <c r="A96" s="26"/>
      <c r="B96" s="26"/>
      <c r="C96" s="26"/>
      <c r="D96" s="27"/>
      <c r="E96" s="5"/>
      <c r="J96" s="41"/>
      <c r="K96" s="26"/>
      <c r="L96" s="26"/>
      <c r="M96" s="32"/>
      <c r="N96" s="32"/>
      <c r="O96" s="33"/>
      <c r="P96" s="33"/>
      <c r="Q96" s="34"/>
      <c r="R96" s="34"/>
      <c r="S96" s="26"/>
      <c r="T96" s="26"/>
      <c r="U96" s="26"/>
    </row>
    <row r="97" spans="1:21" s="6" customFormat="1" ht="12.75">
      <c r="A97" s="26"/>
      <c r="B97" s="26"/>
      <c r="C97" s="26"/>
      <c r="D97" s="27"/>
      <c r="E97" s="5"/>
      <c r="J97" s="41"/>
      <c r="K97" s="26"/>
      <c r="L97" s="26"/>
      <c r="M97" s="32"/>
      <c r="N97" s="32"/>
      <c r="O97" s="33"/>
      <c r="P97" s="33"/>
      <c r="Q97" s="34"/>
      <c r="R97" s="34"/>
      <c r="S97" s="26"/>
      <c r="T97" s="26"/>
      <c r="U97" s="26"/>
    </row>
    <row r="98" spans="1:21" s="6" customFormat="1" ht="12.75">
      <c r="A98" s="26"/>
      <c r="B98" s="26"/>
      <c r="C98" s="26"/>
      <c r="D98" s="27"/>
      <c r="E98" s="5"/>
      <c r="J98" s="41"/>
      <c r="K98" s="11"/>
      <c r="L98" s="26"/>
      <c r="M98" s="32"/>
      <c r="N98" s="32"/>
      <c r="O98" s="33"/>
      <c r="P98" s="33"/>
      <c r="Q98" s="34"/>
      <c r="R98" s="34"/>
      <c r="S98" s="26"/>
      <c r="T98" s="26"/>
      <c r="U98" s="26"/>
    </row>
    <row r="99" spans="1:21" s="6" customFormat="1" ht="12.75">
      <c r="A99" s="26"/>
      <c r="B99" s="26"/>
      <c r="C99" s="26"/>
      <c r="D99" s="27"/>
      <c r="E99" s="5"/>
      <c r="J99" s="41"/>
      <c r="K99" s="26"/>
      <c r="L99" s="26"/>
      <c r="M99" s="32"/>
      <c r="N99" s="32"/>
      <c r="O99" s="35"/>
      <c r="P99" s="33"/>
      <c r="Q99" s="34"/>
      <c r="R99" s="34"/>
      <c r="S99" s="26"/>
      <c r="T99" s="26"/>
      <c r="U99" s="26"/>
    </row>
    <row r="100" spans="1:21" s="6" customFormat="1" ht="12.75">
      <c r="A100" s="26"/>
      <c r="B100" s="26"/>
      <c r="C100" s="26"/>
      <c r="D100" s="27"/>
      <c r="E100" s="5"/>
      <c r="J100" s="41"/>
      <c r="K100" s="26"/>
      <c r="L100" s="26"/>
      <c r="M100" s="32"/>
      <c r="N100" s="32"/>
      <c r="O100" s="33"/>
      <c r="P100" s="33"/>
      <c r="Q100" s="34"/>
      <c r="R100" s="34"/>
      <c r="S100" s="26"/>
      <c r="T100" s="26"/>
      <c r="U100" s="26"/>
    </row>
    <row r="101" spans="1:21" s="6" customFormat="1" ht="12.75">
      <c r="A101" s="26"/>
      <c r="B101" s="26"/>
      <c r="C101" s="26"/>
      <c r="D101" s="27"/>
      <c r="E101" s="5"/>
      <c r="J101" s="41"/>
      <c r="K101" s="26"/>
      <c r="L101" s="26"/>
      <c r="M101" s="32"/>
      <c r="N101" s="32"/>
      <c r="O101" s="33"/>
      <c r="P101" s="33"/>
      <c r="Q101" s="34"/>
      <c r="R101" s="34"/>
      <c r="S101" s="26"/>
      <c r="T101" s="26"/>
      <c r="U101" s="26"/>
    </row>
    <row r="102" spans="1:21" s="6" customFormat="1" ht="12.75">
      <c r="A102" s="26"/>
      <c r="B102" s="26"/>
      <c r="C102" s="26"/>
      <c r="D102" s="27"/>
      <c r="E102" s="5"/>
      <c r="J102" s="41"/>
      <c r="K102" s="26"/>
      <c r="L102" s="26"/>
      <c r="M102" s="32"/>
      <c r="N102" s="32"/>
      <c r="O102" s="33"/>
      <c r="P102" s="33"/>
      <c r="Q102" s="34"/>
      <c r="R102" s="34"/>
      <c r="S102" s="26"/>
      <c r="T102" s="26"/>
      <c r="U102" s="26"/>
    </row>
    <row r="103" spans="1:21" s="6" customFormat="1" ht="12.75">
      <c r="A103" s="26"/>
      <c r="B103" s="26"/>
      <c r="C103" s="26"/>
      <c r="D103" s="27"/>
      <c r="E103" s="5"/>
      <c r="J103" s="41"/>
      <c r="K103" s="26"/>
      <c r="L103" s="26"/>
      <c r="M103" s="32"/>
      <c r="N103" s="32"/>
      <c r="O103" s="33"/>
      <c r="P103" s="33"/>
      <c r="Q103" s="34"/>
      <c r="R103" s="34"/>
      <c r="S103" s="26"/>
      <c r="T103" s="26"/>
      <c r="U103" s="26"/>
    </row>
    <row r="104" spans="1:21" s="6" customFormat="1" ht="12.75">
      <c r="A104" s="26"/>
      <c r="B104" s="26"/>
      <c r="C104" s="26"/>
      <c r="D104" s="27"/>
      <c r="E104" s="5"/>
      <c r="J104" s="41"/>
      <c r="K104" s="26"/>
      <c r="L104" s="26"/>
      <c r="M104" s="32"/>
      <c r="N104" s="32"/>
      <c r="O104" s="33"/>
      <c r="P104" s="33"/>
      <c r="Q104" s="34"/>
      <c r="R104" s="34"/>
      <c r="S104" s="26"/>
      <c r="T104" s="26"/>
      <c r="U104" s="26"/>
    </row>
    <row r="105" spans="1:21" s="6" customFormat="1" ht="12.75">
      <c r="A105" s="26"/>
      <c r="B105" s="26"/>
      <c r="C105" s="26"/>
      <c r="D105" s="27"/>
      <c r="E105" s="5"/>
      <c r="J105" s="41"/>
      <c r="K105" s="26"/>
      <c r="L105" s="26"/>
      <c r="M105" s="32"/>
      <c r="N105" s="32"/>
      <c r="O105" s="33"/>
      <c r="P105" s="33"/>
      <c r="Q105" s="34"/>
      <c r="R105" s="34"/>
      <c r="S105" s="26"/>
      <c r="T105" s="26"/>
      <c r="U105" s="26"/>
    </row>
    <row r="106" spans="1:21" s="6" customFormat="1" ht="12.75">
      <c r="A106" s="26"/>
      <c r="B106" s="26"/>
      <c r="C106" s="26"/>
      <c r="D106" s="27"/>
      <c r="E106" s="5"/>
      <c r="J106" s="41"/>
      <c r="K106" s="26"/>
      <c r="L106" s="26"/>
      <c r="M106" s="32"/>
      <c r="N106" s="32"/>
      <c r="O106" s="33"/>
      <c r="P106" s="33"/>
      <c r="Q106" s="34"/>
      <c r="R106" s="34"/>
      <c r="S106" s="26"/>
      <c r="T106" s="26"/>
      <c r="U106" s="26"/>
    </row>
    <row r="107" spans="1:21" s="6" customFormat="1" ht="12.75">
      <c r="A107" s="26"/>
      <c r="B107" s="26"/>
      <c r="C107" s="26"/>
      <c r="D107" s="27"/>
      <c r="E107" s="5"/>
      <c r="J107" s="41"/>
      <c r="K107" s="26"/>
      <c r="L107" s="26"/>
      <c r="M107" s="32"/>
      <c r="N107" s="32"/>
      <c r="O107" s="33"/>
      <c r="P107" s="33"/>
      <c r="Q107" s="34"/>
      <c r="R107" s="34"/>
      <c r="S107" s="26"/>
      <c r="T107" s="26"/>
      <c r="U107" s="26"/>
    </row>
    <row r="108" spans="1:21" s="6" customFormat="1" ht="12.75">
      <c r="A108" s="26"/>
      <c r="B108" s="26"/>
      <c r="C108" s="26"/>
      <c r="D108" s="27"/>
      <c r="E108" s="5"/>
      <c r="J108" s="41"/>
      <c r="K108" s="26"/>
      <c r="L108" s="26"/>
      <c r="M108" s="32"/>
      <c r="N108" s="32"/>
      <c r="O108" s="33"/>
      <c r="P108" s="33"/>
      <c r="Q108" s="34"/>
      <c r="R108" s="34"/>
      <c r="S108" s="26"/>
      <c r="T108" s="26"/>
      <c r="U108" s="26"/>
    </row>
    <row r="109" spans="1:21" s="6" customFormat="1" ht="12.75">
      <c r="A109" s="26"/>
      <c r="B109" s="26"/>
      <c r="C109" s="26"/>
      <c r="D109" s="27"/>
      <c r="E109" s="5"/>
      <c r="J109" s="41"/>
      <c r="K109" s="26"/>
      <c r="L109" s="26"/>
      <c r="M109" s="32"/>
      <c r="N109" s="32"/>
      <c r="O109" s="33"/>
      <c r="P109" s="33"/>
      <c r="Q109" s="34"/>
      <c r="R109" s="34"/>
      <c r="S109" s="26"/>
      <c r="T109" s="26"/>
      <c r="U109" s="26"/>
    </row>
    <row r="110" spans="1:21" s="6" customFormat="1" ht="12.75">
      <c r="A110" s="26"/>
      <c r="B110" s="26"/>
      <c r="C110" s="26"/>
      <c r="D110" s="27"/>
      <c r="E110" s="5"/>
      <c r="J110" s="41"/>
      <c r="K110" s="26"/>
      <c r="L110" s="26"/>
      <c r="M110" s="32"/>
      <c r="N110" s="32"/>
      <c r="O110" s="33"/>
      <c r="P110" s="33"/>
      <c r="Q110" s="34"/>
      <c r="R110" s="34"/>
      <c r="S110" s="26"/>
      <c r="T110" s="26"/>
      <c r="U110" s="26"/>
    </row>
    <row r="111" spans="1:21" s="6" customFormat="1" ht="12.75">
      <c r="A111" s="26"/>
      <c r="B111" s="26"/>
      <c r="C111" s="26"/>
      <c r="D111" s="27"/>
      <c r="E111" s="5"/>
      <c r="J111" s="41"/>
      <c r="K111" s="26"/>
      <c r="L111" s="26"/>
      <c r="M111" s="32"/>
      <c r="N111" s="32"/>
      <c r="O111" s="33"/>
      <c r="P111" s="33"/>
      <c r="Q111" s="34"/>
      <c r="R111" s="34"/>
      <c r="S111" s="26"/>
      <c r="T111" s="26"/>
      <c r="U111" s="26"/>
    </row>
    <row r="112" spans="1:21" s="6" customFormat="1" ht="12.75">
      <c r="A112" s="26"/>
      <c r="B112" s="26"/>
      <c r="C112" s="26"/>
      <c r="D112" s="27"/>
      <c r="E112" s="5"/>
      <c r="J112" s="41"/>
      <c r="K112" s="26"/>
      <c r="L112" s="26"/>
      <c r="M112" s="32"/>
      <c r="N112" s="32"/>
      <c r="O112" s="33"/>
      <c r="P112" s="33"/>
      <c r="Q112" s="34"/>
      <c r="R112" s="34"/>
      <c r="S112" s="26"/>
      <c r="T112" s="26"/>
      <c r="U112" s="26"/>
    </row>
    <row r="113" spans="1:21" s="6" customFormat="1" ht="12.75">
      <c r="A113" s="26"/>
      <c r="B113" s="26"/>
      <c r="C113" s="26"/>
      <c r="D113" s="27"/>
      <c r="E113" s="5"/>
      <c r="J113" s="41"/>
      <c r="K113" s="26"/>
      <c r="L113" s="26"/>
      <c r="M113" s="32"/>
      <c r="N113" s="32"/>
      <c r="O113" s="33"/>
      <c r="P113" s="33"/>
      <c r="Q113" s="34"/>
      <c r="R113" s="34"/>
      <c r="S113" s="26"/>
      <c r="T113" s="26"/>
      <c r="U113" s="26"/>
    </row>
    <row r="114" spans="1:21" s="6" customFormat="1" ht="12.75">
      <c r="A114" s="26"/>
      <c r="B114" s="26"/>
      <c r="C114" s="26"/>
      <c r="D114" s="27"/>
      <c r="E114" s="5"/>
      <c r="J114" s="41"/>
      <c r="K114" s="26"/>
      <c r="L114" s="26"/>
      <c r="M114" s="32"/>
      <c r="N114" s="32"/>
      <c r="O114" s="33"/>
      <c r="P114" s="33"/>
      <c r="Q114" s="34"/>
      <c r="R114" s="34"/>
      <c r="S114" s="26"/>
      <c r="T114" s="26"/>
      <c r="U114" s="26"/>
    </row>
    <row r="115" spans="1:21" s="6" customFormat="1" ht="12.75">
      <c r="A115" s="26"/>
      <c r="B115" s="26"/>
      <c r="C115" s="26"/>
      <c r="D115" s="27"/>
      <c r="E115" s="5"/>
      <c r="J115" s="41"/>
      <c r="K115" s="26"/>
      <c r="L115" s="26"/>
      <c r="M115" s="32"/>
      <c r="N115" s="32"/>
      <c r="O115" s="33"/>
      <c r="P115" s="33"/>
      <c r="Q115" s="34"/>
      <c r="R115" s="34"/>
      <c r="S115" s="26"/>
      <c r="T115" s="26"/>
      <c r="U115" s="26"/>
    </row>
    <row r="116" spans="1:21" s="6" customFormat="1" ht="12.75">
      <c r="A116" s="26"/>
      <c r="B116" s="26"/>
      <c r="C116" s="26"/>
      <c r="D116" s="27"/>
      <c r="E116" s="5"/>
      <c r="J116" s="41"/>
      <c r="K116" s="26"/>
      <c r="L116" s="26"/>
      <c r="M116" s="32"/>
      <c r="N116" s="32"/>
      <c r="O116" s="33"/>
      <c r="P116" s="33"/>
      <c r="Q116" s="34"/>
      <c r="R116" s="34"/>
      <c r="S116" s="26"/>
      <c r="T116" s="26"/>
      <c r="U116" s="26"/>
    </row>
    <row r="117" spans="1:21" s="6" customFormat="1" ht="12.75">
      <c r="A117" s="26"/>
      <c r="B117" s="26"/>
      <c r="C117" s="26"/>
      <c r="D117" s="27"/>
      <c r="E117" s="5"/>
      <c r="J117" s="41"/>
      <c r="K117" s="26"/>
      <c r="L117" s="26"/>
      <c r="M117" s="32"/>
      <c r="N117" s="32"/>
      <c r="O117" s="33"/>
      <c r="P117" s="33"/>
      <c r="Q117" s="34"/>
      <c r="R117" s="34"/>
      <c r="S117" s="26"/>
      <c r="T117" s="26"/>
      <c r="U117" s="26"/>
    </row>
    <row r="118" spans="1:21" s="6" customFormat="1" ht="12.75">
      <c r="A118" s="26"/>
      <c r="B118" s="26"/>
      <c r="C118" s="26"/>
      <c r="D118" s="27"/>
      <c r="E118" s="5"/>
      <c r="J118" s="41"/>
      <c r="K118" s="26"/>
      <c r="L118" s="26"/>
      <c r="M118" s="32"/>
      <c r="N118" s="32"/>
      <c r="O118" s="33"/>
      <c r="P118" s="33"/>
      <c r="Q118" s="34"/>
      <c r="R118" s="34"/>
      <c r="S118" s="26"/>
      <c r="T118" s="26"/>
      <c r="U118" s="26"/>
    </row>
    <row r="119" spans="1:21" s="6" customFormat="1" ht="12.75">
      <c r="A119" s="26"/>
      <c r="B119" s="26"/>
      <c r="C119" s="26"/>
      <c r="D119" s="27"/>
      <c r="E119" s="5"/>
      <c r="J119" s="41"/>
      <c r="K119" s="26"/>
      <c r="L119" s="26"/>
      <c r="M119" s="32"/>
      <c r="N119" s="32"/>
      <c r="O119" s="33"/>
      <c r="P119" s="33"/>
      <c r="Q119" s="34"/>
      <c r="R119" s="34"/>
      <c r="S119" s="26"/>
      <c r="T119" s="26"/>
      <c r="U119" s="26"/>
    </row>
    <row r="120" spans="1:21" s="6" customFormat="1" ht="12.75">
      <c r="A120" s="26"/>
      <c r="B120" s="11"/>
      <c r="C120" s="26"/>
      <c r="D120" s="27"/>
      <c r="E120" s="5"/>
      <c r="J120" s="41"/>
      <c r="K120" s="26"/>
      <c r="L120" s="26"/>
      <c r="M120" s="32"/>
      <c r="N120" s="32"/>
      <c r="O120" s="33"/>
      <c r="P120" s="33"/>
      <c r="Q120" s="34"/>
      <c r="R120" s="34"/>
      <c r="S120" s="26"/>
      <c r="T120" s="26"/>
      <c r="U120" s="26"/>
    </row>
    <row r="121" spans="1:21" s="6" customFormat="1" ht="12.75">
      <c r="A121" s="26"/>
      <c r="B121" s="26"/>
      <c r="C121" s="26"/>
      <c r="D121" s="27"/>
      <c r="E121" s="5"/>
      <c r="J121" s="41"/>
      <c r="K121" s="26"/>
      <c r="L121" s="26"/>
      <c r="M121" s="32"/>
      <c r="N121" s="32"/>
      <c r="O121" s="33"/>
      <c r="P121" s="33"/>
      <c r="Q121" s="34"/>
      <c r="R121" s="34"/>
      <c r="S121" s="26"/>
      <c r="T121" s="26"/>
      <c r="U121" s="26"/>
    </row>
    <row r="122" spans="1:21" s="6" customFormat="1" ht="12.75">
      <c r="A122" s="26"/>
      <c r="B122" s="26"/>
      <c r="C122" s="26"/>
      <c r="D122" s="27"/>
      <c r="E122" s="5"/>
      <c r="J122" s="41"/>
      <c r="K122" s="26"/>
      <c r="L122" s="26"/>
      <c r="M122" s="32"/>
      <c r="N122" s="32"/>
      <c r="O122" s="33"/>
      <c r="P122" s="33"/>
      <c r="Q122" s="34"/>
      <c r="R122" s="34"/>
      <c r="S122" s="26"/>
      <c r="T122" s="26"/>
      <c r="U122" s="26"/>
    </row>
    <row r="123" spans="1:21" s="6" customFormat="1" ht="12.75">
      <c r="A123" s="26"/>
      <c r="B123" s="26"/>
      <c r="C123" s="26"/>
      <c r="D123" s="27"/>
      <c r="E123" s="5"/>
      <c r="J123" s="41"/>
      <c r="K123" s="26"/>
      <c r="L123" s="26"/>
      <c r="M123" s="32"/>
      <c r="N123" s="32"/>
      <c r="O123" s="33"/>
      <c r="P123" s="33"/>
      <c r="Q123" s="34"/>
      <c r="R123" s="34"/>
      <c r="S123" s="26"/>
      <c r="T123" s="26"/>
      <c r="U123" s="26"/>
    </row>
    <row r="124" spans="1:21" s="6" customFormat="1" ht="12.75">
      <c r="A124" s="26"/>
      <c r="B124" s="26"/>
      <c r="C124" s="26"/>
      <c r="D124" s="27"/>
      <c r="E124" s="5"/>
      <c r="J124" s="41"/>
      <c r="K124" s="26"/>
      <c r="L124" s="26"/>
      <c r="M124" s="32"/>
      <c r="N124" s="32"/>
      <c r="O124" s="33"/>
      <c r="P124" s="33"/>
      <c r="Q124" s="34"/>
      <c r="R124" s="34"/>
      <c r="S124" s="26"/>
      <c r="T124" s="26"/>
      <c r="U124" s="26"/>
    </row>
    <row r="125" spans="1:21" s="6" customFormat="1" ht="12.75">
      <c r="A125" s="26"/>
      <c r="B125" s="26"/>
      <c r="C125" s="26"/>
      <c r="D125" s="27"/>
      <c r="E125" s="5"/>
      <c r="J125" s="41"/>
      <c r="K125" s="11"/>
      <c r="L125" s="26"/>
      <c r="M125" s="32"/>
      <c r="N125" s="32"/>
      <c r="O125" s="33"/>
      <c r="P125" s="33"/>
      <c r="Q125" s="34"/>
      <c r="R125" s="34"/>
      <c r="S125" s="26"/>
      <c r="T125" s="26"/>
      <c r="U125" s="26"/>
    </row>
    <row r="126" spans="1:21" s="6" customFormat="1" ht="12.75">
      <c r="A126" s="26"/>
      <c r="B126" s="26"/>
      <c r="C126" s="26"/>
      <c r="D126" s="27"/>
      <c r="E126" s="5"/>
      <c r="J126" s="41"/>
      <c r="K126" s="26"/>
      <c r="L126" s="26"/>
      <c r="M126" s="32"/>
      <c r="N126" s="32"/>
      <c r="O126" s="33"/>
      <c r="P126" s="33"/>
      <c r="Q126" s="34"/>
      <c r="R126" s="34"/>
      <c r="S126" s="26"/>
      <c r="T126" s="26"/>
      <c r="U126" s="26"/>
    </row>
    <row r="127" spans="1:21" s="6" customFormat="1" ht="12.75">
      <c r="A127" s="26"/>
      <c r="B127" s="26"/>
      <c r="C127" s="26"/>
      <c r="D127" s="27"/>
      <c r="E127" s="5"/>
      <c r="J127" s="41"/>
      <c r="K127" s="26"/>
      <c r="L127" s="26"/>
      <c r="M127" s="32"/>
      <c r="N127" s="32"/>
      <c r="O127" s="33"/>
      <c r="P127" s="33"/>
      <c r="Q127" s="34"/>
      <c r="R127" s="34"/>
      <c r="S127" s="26"/>
      <c r="T127" s="26"/>
      <c r="U127" s="26"/>
    </row>
    <row r="128" spans="1:21" s="6" customFormat="1" ht="12.75">
      <c r="A128" s="26"/>
      <c r="B128" s="26"/>
      <c r="C128" s="26"/>
      <c r="D128" s="27"/>
      <c r="E128" s="5"/>
      <c r="J128" s="41"/>
      <c r="K128" s="26"/>
      <c r="L128" s="26"/>
      <c r="M128" s="32"/>
      <c r="N128" s="32"/>
      <c r="O128" s="33"/>
      <c r="P128" s="33"/>
      <c r="Q128" s="34"/>
      <c r="R128" s="34"/>
      <c r="S128" s="26"/>
      <c r="T128" s="26"/>
      <c r="U128" s="26"/>
    </row>
    <row r="129" spans="1:21" s="6" customFormat="1" ht="12.75">
      <c r="A129" s="26"/>
      <c r="B129" s="11"/>
      <c r="C129" s="26"/>
      <c r="D129" s="27"/>
      <c r="E129" s="5"/>
      <c r="J129" s="41"/>
      <c r="K129" s="26"/>
      <c r="L129" s="26"/>
      <c r="M129" s="32"/>
      <c r="N129" s="32"/>
      <c r="O129" s="33"/>
      <c r="P129" s="33"/>
      <c r="Q129" s="34"/>
      <c r="R129" s="34"/>
      <c r="S129" s="26"/>
      <c r="T129" s="26"/>
      <c r="U129" s="26"/>
    </row>
    <row r="130" spans="1:21" s="6" customFormat="1" ht="12.75">
      <c r="A130" s="26"/>
      <c r="B130" s="11"/>
      <c r="C130" s="26"/>
      <c r="D130" s="27"/>
      <c r="E130" s="5"/>
      <c r="J130" s="41"/>
      <c r="K130" s="11"/>
      <c r="L130" s="36"/>
      <c r="M130" s="32"/>
      <c r="N130" s="32"/>
      <c r="O130" s="33"/>
      <c r="P130" s="33"/>
      <c r="Q130" s="34"/>
      <c r="R130" s="34"/>
      <c r="S130" s="26"/>
      <c r="T130" s="26"/>
      <c r="U130" s="26"/>
    </row>
    <row r="131" spans="1:21" s="6" customFormat="1" ht="12.75">
      <c r="A131" s="26"/>
      <c r="B131" s="11"/>
      <c r="C131" s="26"/>
      <c r="D131" s="27"/>
      <c r="E131" s="5"/>
      <c r="J131" s="41"/>
      <c r="K131" s="26"/>
      <c r="L131" s="26"/>
      <c r="M131" s="32"/>
      <c r="N131" s="32"/>
      <c r="O131" s="33"/>
      <c r="P131" s="33"/>
      <c r="Q131" s="34"/>
      <c r="R131" s="34"/>
      <c r="S131" s="26"/>
      <c r="T131" s="26"/>
      <c r="U131" s="26"/>
    </row>
    <row r="132" spans="1:21" s="6" customFormat="1" ht="12.75">
      <c r="A132" s="26"/>
      <c r="B132" s="11"/>
      <c r="C132" s="26"/>
      <c r="D132" s="27"/>
      <c r="E132" s="5"/>
      <c r="J132" s="41"/>
      <c r="K132" s="26"/>
      <c r="L132" s="26"/>
      <c r="M132" s="32"/>
      <c r="N132" s="32"/>
      <c r="O132" s="33"/>
      <c r="P132" s="33"/>
      <c r="Q132" s="34"/>
      <c r="R132" s="34"/>
      <c r="S132" s="26"/>
      <c r="T132" s="26"/>
      <c r="U132" s="26"/>
    </row>
    <row r="133" spans="1:21" s="6" customFormat="1" ht="12.75">
      <c r="A133" s="26"/>
      <c r="B133" s="11"/>
      <c r="C133" s="26"/>
      <c r="D133" s="27"/>
      <c r="E133" s="5"/>
      <c r="J133" s="41"/>
      <c r="K133" s="26"/>
      <c r="L133" s="26"/>
      <c r="M133" s="32"/>
      <c r="N133" s="32"/>
      <c r="O133" s="33"/>
      <c r="P133" s="33"/>
      <c r="Q133" s="34"/>
      <c r="R133" s="34"/>
      <c r="S133" s="26"/>
      <c r="T133" s="26"/>
      <c r="U133" s="26"/>
    </row>
    <row r="134" spans="1:21" s="6" customFormat="1" ht="12.75">
      <c r="A134" s="26"/>
      <c r="B134" s="30"/>
      <c r="C134" s="26"/>
      <c r="D134" s="27"/>
      <c r="E134" s="5"/>
      <c r="J134" s="41"/>
      <c r="K134" s="11"/>
      <c r="L134" s="26"/>
      <c r="M134" s="32"/>
      <c r="N134" s="32"/>
      <c r="O134" s="33"/>
      <c r="P134" s="33"/>
      <c r="Q134" s="34"/>
      <c r="R134" s="34"/>
      <c r="S134" s="26"/>
      <c r="T134" s="26"/>
      <c r="U134" s="26"/>
    </row>
    <row r="135" spans="1:21" s="6" customFormat="1" ht="12.75">
      <c r="A135" s="26"/>
      <c r="B135" s="26"/>
      <c r="C135" s="26"/>
      <c r="D135" s="27"/>
      <c r="E135" s="5"/>
      <c r="J135" s="41"/>
      <c r="K135" s="11"/>
      <c r="L135" s="26"/>
      <c r="M135" s="32"/>
      <c r="N135" s="32"/>
      <c r="O135" s="33"/>
      <c r="P135" s="33"/>
      <c r="Q135" s="34"/>
      <c r="R135" s="34"/>
      <c r="S135" s="26"/>
      <c r="T135" s="26"/>
      <c r="U135" s="26"/>
    </row>
    <row r="136" spans="1:21" s="6" customFormat="1" ht="12.75">
      <c r="A136" s="26"/>
      <c r="B136" s="26"/>
      <c r="C136" s="26"/>
      <c r="D136" s="27"/>
      <c r="E136" s="5"/>
      <c r="J136" s="41"/>
      <c r="K136" s="11"/>
      <c r="L136" s="26"/>
      <c r="M136" s="32"/>
      <c r="N136" s="32"/>
      <c r="O136" s="33"/>
      <c r="P136" s="33"/>
      <c r="Q136" s="34"/>
      <c r="R136" s="34"/>
      <c r="S136" s="26"/>
      <c r="T136" s="26"/>
      <c r="U136" s="26"/>
    </row>
    <row r="137" spans="1:21" s="6" customFormat="1" ht="12.75">
      <c r="A137" s="26"/>
      <c r="B137" s="26"/>
      <c r="C137" s="26"/>
      <c r="D137" s="27"/>
      <c r="E137" s="5"/>
      <c r="J137" s="41"/>
      <c r="K137" s="11"/>
      <c r="L137" s="26"/>
      <c r="M137" s="32"/>
      <c r="N137" s="32"/>
      <c r="O137" s="33"/>
      <c r="P137" s="33"/>
      <c r="Q137" s="34"/>
      <c r="R137" s="34"/>
      <c r="S137" s="26"/>
      <c r="T137" s="26"/>
      <c r="U137" s="26"/>
    </row>
    <row r="138" spans="1:21" s="6" customFormat="1" ht="12.75">
      <c r="A138" s="26"/>
      <c r="B138" s="26"/>
      <c r="C138" s="26"/>
      <c r="D138" s="27"/>
      <c r="E138" s="5"/>
      <c r="J138" s="41"/>
      <c r="K138" s="11"/>
      <c r="L138" s="26"/>
      <c r="M138" s="32"/>
      <c r="N138" s="32"/>
      <c r="O138" s="33"/>
      <c r="P138" s="33"/>
      <c r="Q138" s="34"/>
      <c r="R138" s="34"/>
      <c r="S138" s="26"/>
      <c r="T138" s="26"/>
      <c r="U138" s="26"/>
    </row>
    <row r="139" spans="1:21" s="6" customFormat="1" ht="12.75">
      <c r="A139" s="26"/>
      <c r="B139" s="26"/>
      <c r="C139" s="26"/>
      <c r="D139" s="27"/>
      <c r="E139" s="5"/>
      <c r="J139" s="41"/>
      <c r="K139" s="26"/>
      <c r="L139" s="26"/>
      <c r="M139" s="32"/>
      <c r="N139" s="32"/>
      <c r="O139" s="33"/>
      <c r="P139" s="33"/>
      <c r="Q139" s="34"/>
      <c r="R139" s="34"/>
      <c r="S139" s="26"/>
      <c r="T139" s="26"/>
      <c r="U139" s="26"/>
    </row>
    <row r="140" spans="1:21" s="6" customFormat="1" ht="12.75">
      <c r="A140" s="26"/>
      <c r="B140" s="26"/>
      <c r="C140" s="26"/>
      <c r="D140" s="27"/>
      <c r="E140" s="5"/>
      <c r="J140" s="41"/>
      <c r="K140" s="26"/>
      <c r="L140" s="26"/>
      <c r="M140" s="32"/>
      <c r="N140" s="32"/>
      <c r="O140" s="33"/>
      <c r="P140" s="33"/>
      <c r="Q140" s="34"/>
      <c r="R140" s="34"/>
      <c r="S140" s="26"/>
      <c r="T140" s="26"/>
      <c r="U140" s="26"/>
    </row>
    <row r="141" spans="1:21" s="6" customFormat="1" ht="12.75">
      <c r="A141" s="26"/>
      <c r="B141" s="26"/>
      <c r="C141" s="26"/>
      <c r="D141" s="27"/>
      <c r="E141" s="5"/>
      <c r="J141" s="41"/>
      <c r="K141" s="26"/>
      <c r="L141" s="26"/>
      <c r="M141" s="32"/>
      <c r="N141" s="32"/>
      <c r="O141" s="33"/>
      <c r="P141" s="33"/>
      <c r="Q141" s="34"/>
      <c r="R141" s="34"/>
      <c r="S141" s="26"/>
      <c r="T141" s="26"/>
      <c r="U141" s="26"/>
    </row>
    <row r="142" spans="1:21" s="6" customFormat="1" ht="12.75">
      <c r="A142" s="26"/>
      <c r="B142" s="26"/>
      <c r="C142" s="26"/>
      <c r="D142" s="27"/>
      <c r="E142" s="5"/>
      <c r="J142" s="41"/>
      <c r="K142" s="26"/>
      <c r="L142" s="26"/>
      <c r="M142" s="32"/>
      <c r="N142" s="32"/>
      <c r="O142" s="33"/>
      <c r="P142" s="33"/>
      <c r="Q142" s="34"/>
      <c r="R142" s="34"/>
      <c r="S142" s="26"/>
      <c r="T142" s="26"/>
      <c r="U142" s="26"/>
    </row>
    <row r="143" spans="1:21" s="6" customFormat="1" ht="12.75">
      <c r="A143" s="26"/>
      <c r="B143" s="30"/>
      <c r="C143" s="26"/>
      <c r="D143" s="27"/>
      <c r="E143" s="5"/>
      <c r="J143" s="41"/>
      <c r="K143" s="26"/>
      <c r="L143" s="26"/>
      <c r="M143" s="32"/>
      <c r="N143" s="32"/>
      <c r="O143" s="33"/>
      <c r="P143" s="33"/>
      <c r="Q143" s="34"/>
      <c r="R143" s="34"/>
      <c r="S143" s="26"/>
      <c r="T143" s="26"/>
      <c r="U143" s="26"/>
    </row>
    <row r="144" spans="10:21" s="6" customFormat="1" ht="12.75">
      <c r="J144" s="41"/>
      <c r="K144" s="26"/>
      <c r="L144" s="26"/>
      <c r="M144" s="32"/>
      <c r="N144" s="32"/>
      <c r="O144" s="33"/>
      <c r="P144" s="33"/>
      <c r="Q144" s="34"/>
      <c r="R144" s="34"/>
      <c r="S144" s="26"/>
      <c r="T144" s="26"/>
      <c r="U144" s="26"/>
    </row>
    <row r="145" spans="10:21" s="6" customFormat="1" ht="12.75">
      <c r="J145" s="41"/>
      <c r="K145" s="26"/>
      <c r="L145" s="26"/>
      <c r="M145" s="32"/>
      <c r="N145" s="32"/>
      <c r="O145" s="33"/>
      <c r="P145" s="33"/>
      <c r="Q145" s="34"/>
      <c r="R145" s="34"/>
      <c r="S145" s="26"/>
      <c r="T145" s="26"/>
      <c r="U145" s="26"/>
    </row>
    <row r="146" spans="10:21" s="6" customFormat="1" ht="12.75">
      <c r="J146" s="41"/>
      <c r="K146" s="26"/>
      <c r="L146" s="26"/>
      <c r="M146" s="32"/>
      <c r="N146" s="32"/>
      <c r="O146" s="33"/>
      <c r="P146" s="33"/>
      <c r="Q146" s="34"/>
      <c r="R146" s="34"/>
      <c r="S146" s="26"/>
      <c r="T146" s="26"/>
      <c r="U146" s="26"/>
    </row>
    <row r="147" spans="10:21" s="6" customFormat="1" ht="12.75">
      <c r="J147" s="41"/>
      <c r="K147" s="37"/>
      <c r="L147" s="37"/>
      <c r="M147" s="38"/>
      <c r="N147" s="38"/>
      <c r="O147" s="39"/>
      <c r="P147" s="39"/>
      <c r="Q147" s="40"/>
      <c r="R147" s="40"/>
      <c r="S147" s="26"/>
      <c r="T147" s="26"/>
      <c r="U147" s="26"/>
    </row>
    <row r="148" spans="10:21" s="6" customFormat="1" ht="12.75">
      <c r="J148" s="41"/>
      <c r="K148" s="37"/>
      <c r="L148" s="37"/>
      <c r="M148" s="38"/>
      <c r="N148" s="38"/>
      <c r="O148" s="39"/>
      <c r="P148" s="39"/>
      <c r="Q148" s="40"/>
      <c r="R148" s="40"/>
      <c r="S148" s="26"/>
      <c r="T148" s="26"/>
      <c r="U148" s="26"/>
    </row>
    <row r="149" spans="10:21" s="6" customFormat="1" ht="12.75">
      <c r="J149" s="41"/>
      <c r="K149" s="37"/>
      <c r="L149" s="37"/>
      <c r="M149" s="38"/>
      <c r="N149" s="38"/>
      <c r="O149" s="39"/>
      <c r="P149" s="39"/>
      <c r="Q149" s="40"/>
      <c r="R149" s="40"/>
      <c r="S149" s="26"/>
      <c r="T149" s="26"/>
      <c r="U149" s="26"/>
    </row>
    <row r="150" spans="10:21" s="6" customFormat="1" ht="12.75">
      <c r="J150" s="41"/>
      <c r="K150" s="37"/>
      <c r="L150" s="37"/>
      <c r="M150" s="38"/>
      <c r="N150" s="38"/>
      <c r="O150" s="39"/>
      <c r="P150" s="39"/>
      <c r="Q150" s="40"/>
      <c r="R150" s="40"/>
      <c r="S150" s="26"/>
      <c r="T150" s="26"/>
      <c r="U150" s="26"/>
    </row>
    <row r="151" spans="10:21" s="6" customFormat="1" ht="12.75">
      <c r="J151" s="41"/>
      <c r="K151" s="37"/>
      <c r="L151" s="37"/>
      <c r="M151" s="38"/>
      <c r="N151" s="38"/>
      <c r="O151" s="39"/>
      <c r="P151" s="39"/>
      <c r="Q151" s="40"/>
      <c r="R151" s="40"/>
      <c r="S151" s="26"/>
      <c r="T151" s="26"/>
      <c r="U151" s="26"/>
    </row>
    <row r="152" spans="10:21" s="6" customFormat="1" ht="12.75">
      <c r="J152" s="41"/>
      <c r="K152" s="37"/>
      <c r="L152" s="37"/>
      <c r="M152" s="38"/>
      <c r="N152" s="38"/>
      <c r="O152" s="39"/>
      <c r="P152" s="39"/>
      <c r="Q152" s="40"/>
      <c r="R152" s="40"/>
      <c r="S152" s="26"/>
      <c r="T152" s="26"/>
      <c r="U152" s="26"/>
    </row>
    <row r="153" spans="10:21" s="6" customFormat="1" ht="12.75">
      <c r="J153" s="41"/>
      <c r="K153" s="37"/>
      <c r="L153" s="37"/>
      <c r="M153" s="38"/>
      <c r="N153" s="38"/>
      <c r="O153" s="39"/>
      <c r="P153" s="39"/>
      <c r="Q153" s="40"/>
      <c r="R153" s="40"/>
      <c r="S153" s="26"/>
      <c r="T153" s="26"/>
      <c r="U153" s="26"/>
    </row>
    <row r="154" spans="10:21" s="6" customFormat="1" ht="12.75">
      <c r="J154" s="41"/>
      <c r="K154" s="37"/>
      <c r="L154" s="37"/>
      <c r="M154" s="38"/>
      <c r="N154" s="38"/>
      <c r="O154" s="39"/>
      <c r="P154" s="39"/>
      <c r="Q154" s="40"/>
      <c r="R154" s="40"/>
      <c r="S154" s="26"/>
      <c r="T154" s="26"/>
      <c r="U154" s="26"/>
    </row>
    <row r="155" spans="10:21" s="6" customFormat="1" ht="12.75">
      <c r="J155" s="41"/>
      <c r="K155" s="37"/>
      <c r="L155" s="37"/>
      <c r="M155" s="38"/>
      <c r="N155" s="38"/>
      <c r="O155" s="39"/>
      <c r="P155" s="39"/>
      <c r="Q155" s="40"/>
      <c r="R155" s="40"/>
      <c r="S155" s="26"/>
      <c r="T155" s="26"/>
      <c r="U155" s="26"/>
    </row>
    <row r="156" spans="10:21" s="6" customFormat="1" ht="12.75">
      <c r="J156" s="41"/>
      <c r="K156" s="37"/>
      <c r="L156" s="37"/>
      <c r="M156" s="38"/>
      <c r="N156" s="38"/>
      <c r="O156" s="39"/>
      <c r="P156" s="39"/>
      <c r="Q156" s="40"/>
      <c r="R156" s="40"/>
      <c r="S156" s="26"/>
      <c r="T156" s="26"/>
      <c r="U156" s="26"/>
    </row>
    <row r="157" spans="10:21" s="6" customFormat="1" ht="12.75">
      <c r="J157" s="41"/>
      <c r="K157" s="37"/>
      <c r="L157" s="37"/>
      <c r="M157" s="38"/>
      <c r="N157" s="38"/>
      <c r="O157" s="39"/>
      <c r="P157" s="39"/>
      <c r="Q157" s="40"/>
      <c r="R157" s="40"/>
      <c r="S157" s="26"/>
      <c r="T157" s="26"/>
      <c r="U157" s="26"/>
    </row>
    <row r="158" spans="10:21" s="6" customFormat="1" ht="12.75">
      <c r="J158" s="41"/>
      <c r="K158" s="37"/>
      <c r="L158" s="37"/>
      <c r="M158" s="38"/>
      <c r="N158" s="38"/>
      <c r="O158" s="39"/>
      <c r="P158" s="39"/>
      <c r="Q158" s="40"/>
      <c r="R158" s="40"/>
      <c r="S158" s="26"/>
      <c r="T158" s="26"/>
      <c r="U158" s="26"/>
    </row>
    <row r="159" spans="10:21" s="6" customFormat="1" ht="12.75">
      <c r="J159" s="41"/>
      <c r="K159" s="37"/>
      <c r="L159" s="37"/>
      <c r="M159" s="38"/>
      <c r="N159" s="38"/>
      <c r="O159" s="39"/>
      <c r="P159" s="39"/>
      <c r="Q159" s="40"/>
      <c r="R159" s="40"/>
      <c r="S159" s="26"/>
      <c r="T159" s="26"/>
      <c r="U159" s="26"/>
    </row>
    <row r="160" spans="10:21" s="6" customFormat="1" ht="12.75">
      <c r="J160" s="41"/>
      <c r="K160" s="37"/>
      <c r="L160" s="37"/>
      <c r="M160" s="38"/>
      <c r="N160" s="38"/>
      <c r="O160" s="39"/>
      <c r="P160" s="39"/>
      <c r="Q160" s="40"/>
      <c r="R160" s="40"/>
      <c r="S160" s="26"/>
      <c r="T160" s="26"/>
      <c r="U160" s="26"/>
    </row>
    <row r="161" spans="10:21" s="6" customFormat="1" ht="12.75">
      <c r="J161" s="41"/>
      <c r="K161" s="37"/>
      <c r="L161" s="37"/>
      <c r="M161" s="38"/>
      <c r="N161" s="38"/>
      <c r="O161" s="39"/>
      <c r="P161" s="39"/>
      <c r="Q161" s="40"/>
      <c r="R161" s="40"/>
      <c r="S161" s="26"/>
      <c r="T161" s="26"/>
      <c r="U161" s="26"/>
    </row>
    <row r="162" spans="10:21" s="6" customFormat="1" ht="12.75">
      <c r="J162" s="41"/>
      <c r="K162" s="37"/>
      <c r="L162" s="37"/>
      <c r="M162" s="38"/>
      <c r="N162" s="38"/>
      <c r="O162" s="39"/>
      <c r="P162" s="39"/>
      <c r="Q162" s="40"/>
      <c r="R162" s="40"/>
      <c r="S162" s="26"/>
      <c r="T162" s="26"/>
      <c r="U162" s="26"/>
    </row>
    <row r="163" spans="10:21" s="6" customFormat="1" ht="12.75">
      <c r="J163" s="41"/>
      <c r="K163" s="37"/>
      <c r="L163" s="37"/>
      <c r="M163" s="38"/>
      <c r="N163" s="38"/>
      <c r="O163" s="39"/>
      <c r="P163" s="39"/>
      <c r="Q163" s="40"/>
      <c r="R163" s="40"/>
      <c r="S163" s="26"/>
      <c r="T163" s="26"/>
      <c r="U163" s="26"/>
    </row>
    <row r="164" spans="10:21" s="6" customFormat="1" ht="12.75">
      <c r="J164" s="41"/>
      <c r="K164" s="37"/>
      <c r="L164" s="37"/>
      <c r="M164" s="38"/>
      <c r="N164" s="38"/>
      <c r="O164" s="39"/>
      <c r="P164" s="39"/>
      <c r="Q164" s="40"/>
      <c r="R164" s="40"/>
      <c r="S164" s="26"/>
      <c r="T164" s="26"/>
      <c r="U164" s="26"/>
    </row>
    <row r="165" spans="10:21" s="6" customFormat="1" ht="12.75">
      <c r="J165" s="41"/>
      <c r="K165" s="37"/>
      <c r="L165" s="37"/>
      <c r="M165" s="38"/>
      <c r="N165" s="38"/>
      <c r="O165" s="39"/>
      <c r="P165" s="39"/>
      <c r="Q165" s="40"/>
      <c r="R165" s="40"/>
      <c r="S165" s="26"/>
      <c r="T165" s="26"/>
      <c r="U165" s="26"/>
    </row>
    <row r="166" spans="10:21" s="6" customFormat="1" ht="12.75">
      <c r="J166" s="41"/>
      <c r="K166" s="37"/>
      <c r="L166" s="37"/>
      <c r="M166" s="38"/>
      <c r="N166" s="38"/>
      <c r="O166" s="39"/>
      <c r="P166" s="39"/>
      <c r="Q166" s="40"/>
      <c r="R166" s="40"/>
      <c r="S166" s="26"/>
      <c r="T166" s="26"/>
      <c r="U166" s="26"/>
    </row>
    <row r="167" spans="10:21" s="6" customFormat="1" ht="12.75">
      <c r="J167" s="41"/>
      <c r="K167" s="37"/>
      <c r="L167" s="37"/>
      <c r="M167" s="38"/>
      <c r="N167" s="38"/>
      <c r="O167" s="39"/>
      <c r="P167" s="39"/>
      <c r="Q167" s="40"/>
      <c r="R167" s="40"/>
      <c r="S167" s="26"/>
      <c r="T167" s="26"/>
      <c r="U167" s="26"/>
    </row>
    <row r="168" spans="10:21" s="6" customFormat="1" ht="12.75">
      <c r="J168" s="41"/>
      <c r="K168" s="37"/>
      <c r="L168" s="37"/>
      <c r="M168" s="38"/>
      <c r="N168" s="38"/>
      <c r="O168" s="39"/>
      <c r="P168" s="39"/>
      <c r="Q168" s="40"/>
      <c r="R168" s="40"/>
      <c r="S168" s="26"/>
      <c r="T168" s="26"/>
      <c r="U168" s="26"/>
    </row>
    <row r="169" spans="10:21" s="6" customFormat="1" ht="12.75">
      <c r="J169" s="41"/>
      <c r="K169" s="37"/>
      <c r="L169" s="37"/>
      <c r="M169" s="38"/>
      <c r="N169" s="38"/>
      <c r="O169" s="39"/>
      <c r="P169" s="39"/>
      <c r="Q169" s="40"/>
      <c r="R169" s="40"/>
      <c r="S169" s="26"/>
      <c r="T169" s="26"/>
      <c r="U169" s="26"/>
    </row>
    <row r="170" spans="10:21" s="6" customFormat="1" ht="12.75">
      <c r="J170" s="41"/>
      <c r="K170" s="37"/>
      <c r="L170" s="37"/>
      <c r="M170" s="38"/>
      <c r="N170" s="38"/>
      <c r="O170" s="39"/>
      <c r="P170" s="39"/>
      <c r="Q170" s="40"/>
      <c r="R170" s="40"/>
      <c r="S170" s="26"/>
      <c r="T170" s="26"/>
      <c r="U170" s="26"/>
    </row>
    <row r="171" spans="10:21" s="6" customFormat="1" ht="12.75">
      <c r="J171" s="41"/>
      <c r="K171" s="37"/>
      <c r="L171" s="37"/>
      <c r="M171" s="38"/>
      <c r="N171" s="38"/>
      <c r="O171" s="39"/>
      <c r="P171" s="39"/>
      <c r="Q171" s="40"/>
      <c r="R171" s="40"/>
      <c r="S171" s="26"/>
      <c r="T171" s="26"/>
      <c r="U171" s="26"/>
    </row>
    <row r="172" spans="10:21" s="6" customFormat="1" ht="12.75">
      <c r="J172" s="41"/>
      <c r="K172" s="37"/>
      <c r="L172" s="37"/>
      <c r="M172" s="38"/>
      <c r="N172" s="38"/>
      <c r="O172" s="39"/>
      <c r="P172" s="39"/>
      <c r="Q172" s="40"/>
      <c r="R172" s="40"/>
      <c r="S172" s="26"/>
      <c r="T172" s="26"/>
      <c r="U172" s="26"/>
    </row>
    <row r="173" spans="10:21" s="6" customFormat="1" ht="12.75">
      <c r="J173" s="41"/>
      <c r="K173" s="37"/>
      <c r="L173" s="37"/>
      <c r="M173" s="38"/>
      <c r="N173" s="38"/>
      <c r="O173" s="39"/>
      <c r="P173" s="39"/>
      <c r="Q173" s="40"/>
      <c r="R173" s="40"/>
      <c r="S173" s="26"/>
      <c r="T173" s="26"/>
      <c r="U173" s="26"/>
    </row>
    <row r="174" spans="10:21" s="6" customFormat="1" ht="12.75">
      <c r="J174" s="41"/>
      <c r="K174" s="37"/>
      <c r="L174" s="37"/>
      <c r="M174" s="38"/>
      <c r="N174" s="38"/>
      <c r="O174" s="39"/>
      <c r="P174" s="39"/>
      <c r="Q174" s="40"/>
      <c r="R174" s="40"/>
      <c r="S174" s="26"/>
      <c r="T174" s="26"/>
      <c r="U174" s="26"/>
    </row>
    <row r="175" spans="10:21" s="6" customFormat="1" ht="12.75">
      <c r="J175" s="41"/>
      <c r="K175" s="26"/>
      <c r="L175" s="26"/>
      <c r="M175" s="34"/>
      <c r="N175" s="34"/>
      <c r="O175" s="33"/>
      <c r="P175" s="33"/>
      <c r="Q175" s="34"/>
      <c r="R175" s="34"/>
      <c r="S175" s="26"/>
      <c r="T175" s="26"/>
      <c r="U175" s="26"/>
    </row>
    <row r="176" spans="10:18" s="6" customFormat="1" ht="12.75">
      <c r="J176" s="41"/>
      <c r="Q176" s="5"/>
      <c r="R176" s="5"/>
    </row>
    <row r="177" spans="10:14" s="6" customFormat="1" ht="12.75">
      <c r="J177" s="41"/>
      <c r="M177" s="5"/>
      <c r="N177" s="5"/>
    </row>
    <row r="178" spans="10:14" s="6" customFormat="1" ht="12.75">
      <c r="J178" s="41"/>
      <c r="M178" s="5"/>
      <c r="N178" s="5"/>
    </row>
    <row r="179" spans="10:18" s="6" customFormat="1" ht="12.75">
      <c r="J179" s="41"/>
      <c r="Q179" s="5"/>
      <c r="R179" s="5"/>
    </row>
    <row r="180" s="6" customFormat="1" ht="12.75">
      <c r="J180" s="41"/>
    </row>
    <row r="181" spans="10:14" s="6" customFormat="1" ht="12.75">
      <c r="J181" s="41"/>
      <c r="M181" s="5"/>
      <c r="N181" s="5"/>
    </row>
    <row r="182" spans="10:18" s="6" customFormat="1" ht="12.75">
      <c r="J182" s="41"/>
      <c r="Q182" s="5"/>
      <c r="R182" s="5"/>
    </row>
    <row r="183" s="6" customFormat="1" ht="12.75"/>
  </sheetData>
  <sheetProtection/>
  <mergeCells count="12">
    <mergeCell ref="S3:T3"/>
    <mergeCell ref="I3:J3"/>
    <mergeCell ref="K3:L3"/>
    <mergeCell ref="M3:N3"/>
    <mergeCell ref="O3:P3"/>
    <mergeCell ref="Q3:R3"/>
    <mergeCell ref="J89:J182"/>
    <mergeCell ref="A3:A4"/>
    <mergeCell ref="B3:B4"/>
    <mergeCell ref="C3:D3"/>
    <mergeCell ref="E3:F3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</dc:creator>
  <cp:keywords/>
  <dc:description/>
  <cp:lastModifiedBy>Uyt</cp:lastModifiedBy>
  <cp:lastPrinted>2015-10-20T09:52:22Z</cp:lastPrinted>
  <dcterms:created xsi:type="dcterms:W3CDTF">2009-02-06T20:44:28Z</dcterms:created>
  <dcterms:modified xsi:type="dcterms:W3CDTF">2015-10-20T09:57:43Z</dcterms:modified>
  <cp:category/>
  <cp:version/>
  <cp:contentType/>
  <cp:contentStatus/>
</cp:coreProperties>
</file>